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1" sheetId="1" r:id="rId4"/>
    <sheet name="Лист2" sheetId="2" state="hidden" r:id="rId5"/>
    <sheet name="Лист7" sheetId="8" r:id="rId6"/>
    <sheet name="исправл." sheetId="9" r:id="rId7"/>
  </sheets>
  <definedNames>
    <definedName name="_xlnm.Print_Area" localSheetId="3">Лист1!$A$1:$P$48</definedName>
  </definedNames>
  <calcPr calcId="124519"/>
</workbook>
</file>

<file path=xl/calcChain.xml><?xml version="1.0" encoding="utf-8"?>
<calcChain xmlns="http://schemas.openxmlformats.org/spreadsheetml/2006/main">
  <c r="P40" i="1"/>
  <c r="O35"/>
  <c r="Q27"/>
  <c r="Q26"/>
  <c r="Q25"/>
  <c r="M35"/>
  <c r="N35"/>
  <c r="J35" l="1"/>
  <c r="K35"/>
  <c r="L35"/>
  <c r="Q22" i="9"/>
  <c r="D43"/>
  <c r="Q42"/>
  <c r="Q40"/>
  <c r="Q39"/>
  <c r="Q38"/>
  <c r="J37"/>
  <c r="I37"/>
  <c r="H37"/>
  <c r="G37"/>
  <c r="F37"/>
  <c r="E37"/>
  <c r="Q37" s="1"/>
  <c r="Q36"/>
  <c r="Q35"/>
  <c r="Q34"/>
  <c r="P32"/>
  <c r="O32"/>
  <c r="N32"/>
  <c r="M32"/>
  <c r="L32"/>
  <c r="K32"/>
  <c r="J32"/>
  <c r="I32"/>
  <c r="H32"/>
  <c r="G32"/>
  <c r="F32"/>
  <c r="E32"/>
  <c r="Q31"/>
  <c r="Q30"/>
  <c r="Q29"/>
  <c r="Q28"/>
  <c r="Q27"/>
  <c r="Q26"/>
  <c r="Q21"/>
  <c r="P20"/>
  <c r="O20"/>
  <c r="N20"/>
  <c r="M20"/>
  <c r="L20"/>
  <c r="K20"/>
  <c r="J20"/>
  <c r="I20"/>
  <c r="H20"/>
  <c r="G20"/>
  <c r="F20"/>
  <c r="E20"/>
  <c r="Q19"/>
  <c r="Q18"/>
  <c r="Q17"/>
  <c r="Q16"/>
  <c r="Q15"/>
  <c r="Q14"/>
  <c r="Q13"/>
  <c r="Q12"/>
  <c r="Q11"/>
  <c r="Q10"/>
  <c r="Q9"/>
  <c r="Q20" s="1"/>
  <c r="I35" i="1"/>
  <c r="Q32" i="9" l="1"/>
  <c r="Q41"/>
  <c r="Q43" s="1"/>
  <c r="H35" i="1"/>
  <c r="G35"/>
  <c r="E35"/>
  <c r="F35"/>
  <c r="P7"/>
  <c r="C42"/>
  <c r="P9"/>
  <c r="O18"/>
  <c r="Q44" i="9" l="1"/>
  <c r="Q45" s="1"/>
  <c r="N18" i="1"/>
  <c r="M18"/>
  <c r="L18"/>
  <c r="K18"/>
  <c r="J18"/>
  <c r="I18"/>
  <c r="H18"/>
  <c r="G18"/>
  <c r="Q44" i="8"/>
  <c r="Q41"/>
  <c r="Q40"/>
  <c r="M39"/>
  <c r="L39"/>
  <c r="K39"/>
  <c r="J39"/>
  <c r="I39"/>
  <c r="H39"/>
  <c r="G39"/>
  <c r="F39"/>
  <c r="E39"/>
  <c r="Q39" s="1"/>
  <c r="N38"/>
  <c r="M38"/>
  <c r="Q38" s="1"/>
  <c r="N37"/>
  <c r="M37"/>
  <c r="Q37"/>
  <c r="Q36"/>
  <c r="N35"/>
  <c r="M35"/>
  <c r="L35"/>
  <c r="K35"/>
  <c r="J35"/>
  <c r="I35"/>
  <c r="H35"/>
  <c r="G35"/>
  <c r="F35"/>
  <c r="E35"/>
  <c r="P32"/>
  <c r="O32"/>
  <c r="N32"/>
  <c r="I32"/>
  <c r="H32"/>
  <c r="F32"/>
  <c r="E32"/>
  <c r="M31"/>
  <c r="M32" s="1"/>
  <c r="L31"/>
  <c r="L32" s="1"/>
  <c r="K31"/>
  <c r="J31"/>
  <c r="J32" s="1"/>
  <c r="K30"/>
  <c r="K32" s="1"/>
  <c r="Q29"/>
  <c r="Q28"/>
  <c r="G27"/>
  <c r="G32" s="1"/>
  <c r="Q26"/>
  <c r="Q25"/>
  <c r="Q20"/>
  <c r="P19"/>
  <c r="P21" s="1"/>
  <c r="O19"/>
  <c r="O21" s="1"/>
  <c r="N19"/>
  <c r="N21" s="1"/>
  <c r="M19"/>
  <c r="M21" s="1"/>
  <c r="L19"/>
  <c r="L21" s="1"/>
  <c r="K19"/>
  <c r="K21" s="1"/>
  <c r="J19"/>
  <c r="J21" s="1"/>
  <c r="I19"/>
  <c r="I21" s="1"/>
  <c r="H19"/>
  <c r="H21" s="1"/>
  <c r="Q18"/>
  <c r="Q17"/>
  <c r="Q16"/>
  <c r="F15"/>
  <c r="Q15" s="1"/>
  <c r="G14"/>
  <c r="F14"/>
  <c r="E14"/>
  <c r="G13"/>
  <c r="F13"/>
  <c r="E13"/>
  <c r="Q13" s="1"/>
  <c r="E12"/>
  <c r="Q12" s="1"/>
  <c r="Q11"/>
  <c r="E10"/>
  <c r="Q10" s="1"/>
  <c r="G9"/>
  <c r="G19" s="1"/>
  <c r="G21" s="1"/>
  <c r="F9"/>
  <c r="F19" s="1"/>
  <c r="F21" s="1"/>
  <c r="E9"/>
  <c r="Q9" s="1"/>
  <c r="Q8"/>
  <c r="D35" i="1"/>
  <c r="Q14" i="8" l="1"/>
  <c r="Q35"/>
  <c r="Q42"/>
  <c r="E19"/>
  <c r="Q27"/>
  <c r="Q30"/>
  <c r="Q31"/>
  <c r="Q32" l="1"/>
  <c r="Q45" s="1"/>
  <c r="E21"/>
  <c r="Q21" s="1"/>
  <c r="Q19"/>
  <c r="Q47" s="1"/>
  <c r="I30" i="1" l="1"/>
  <c r="F30"/>
  <c r="P14"/>
  <c r="P11"/>
  <c r="E30"/>
  <c r="G30"/>
  <c r="H30"/>
  <c r="J30"/>
  <c r="K30"/>
  <c r="L30"/>
  <c r="M30"/>
  <c r="N30"/>
  <c r="O30"/>
  <c r="D30"/>
  <c r="D18" l="1"/>
  <c r="E18" l="1"/>
  <c r="F18"/>
  <c r="P32"/>
  <c r="P33"/>
  <c r="P34"/>
  <c r="P35"/>
  <c r="P36"/>
  <c r="P37"/>
  <c r="P38"/>
  <c r="P41"/>
  <c r="P29"/>
  <c r="P28"/>
  <c r="P27"/>
  <c r="P26"/>
  <c r="P25"/>
  <c r="P24"/>
  <c r="P8"/>
  <c r="P10"/>
  <c r="P12"/>
  <c r="P13"/>
  <c r="P15"/>
  <c r="Q28" s="1"/>
  <c r="P16"/>
  <c r="Q29" s="1"/>
  <c r="P17"/>
  <c r="P19"/>
  <c r="C171" i="2"/>
  <c r="C158"/>
  <c r="C174"/>
  <c r="C139"/>
  <c r="C173"/>
  <c r="C175" s="1"/>
  <c r="C42"/>
  <c r="C52" s="1"/>
  <c r="C43"/>
  <c r="C45"/>
  <c r="C46"/>
  <c r="C47"/>
  <c r="C48"/>
  <c r="C26"/>
  <c r="C27"/>
  <c r="C28"/>
  <c r="C29"/>
  <c r="C39"/>
  <c r="C32"/>
  <c r="C34"/>
  <c r="C36"/>
  <c r="C38"/>
  <c r="C98"/>
  <c r="C111"/>
  <c r="C114" s="1"/>
  <c r="C79"/>
  <c r="C113" s="1"/>
  <c r="C115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D22"/>
  <c r="D23"/>
  <c r="E22"/>
  <c r="F22"/>
  <c r="G22"/>
  <c r="H22"/>
  <c r="I22"/>
  <c r="J22"/>
  <c r="K22"/>
  <c r="L22"/>
  <c r="M22"/>
  <c r="N22"/>
  <c r="O24"/>
  <c r="D25"/>
  <c r="E25" s="1"/>
  <c r="C27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/>
  <c r="C56"/>
  <c r="D22"/>
  <c r="E22"/>
  <c r="E54" s="1"/>
  <c r="F22"/>
  <c r="G22"/>
  <c r="F54"/>
  <c r="F56"/>
  <c r="G23"/>
  <c r="G24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4"/>
  <c r="G45"/>
  <c r="G46"/>
  <c r="G47"/>
  <c r="G48"/>
  <c r="G49"/>
  <c r="G51"/>
  <c r="G52"/>
  <c r="G53"/>
  <c r="G55"/>
  <c r="G8"/>
  <c r="D54"/>
  <c r="D56"/>
  <c r="C50" i="2"/>
  <c r="D27" i="5"/>
  <c r="D28" s="1"/>
  <c r="E23"/>
  <c r="O22"/>
  <c r="F23"/>
  <c r="G23"/>
  <c r="H23"/>
  <c r="I23" s="1"/>
  <c r="Q24" i="1" l="1"/>
  <c r="Q30" s="1"/>
  <c r="J23" i="5"/>
  <c r="E56" i="6"/>
  <c r="G56" s="1"/>
  <c r="G54"/>
  <c r="F25" i="5"/>
  <c r="E27"/>
  <c r="E28"/>
  <c r="G43" i="6"/>
  <c r="P39" i="1"/>
  <c r="P42" s="1"/>
  <c r="P18"/>
  <c r="P20"/>
  <c r="P30"/>
  <c r="C55" i="2"/>
  <c r="C56" s="1"/>
  <c r="F27" i="5" l="1"/>
  <c r="G25"/>
  <c r="F28"/>
  <c r="K23"/>
  <c r="P43" i="1"/>
  <c r="P44" s="1"/>
  <c r="L23" i="5" l="1"/>
  <c r="H25"/>
  <c r="G27"/>
  <c r="G28" s="1"/>
  <c r="H27" l="1"/>
  <c r="H28" s="1"/>
  <c r="I25"/>
  <c r="M23"/>
  <c r="N23" l="1"/>
  <c r="J25"/>
  <c r="I27"/>
  <c r="I28" s="1"/>
  <c r="K25" l="1"/>
  <c r="J27"/>
  <c r="J28" s="1"/>
  <c r="L25" l="1"/>
  <c r="K27"/>
  <c r="K28" s="1"/>
  <c r="M25" l="1"/>
  <c r="L27"/>
  <c r="L28" s="1"/>
  <c r="N25" l="1"/>
  <c r="N27" s="1"/>
  <c r="M27"/>
  <c r="M28" s="1"/>
  <c r="N28" l="1"/>
  <c r="O27"/>
</calcChain>
</file>

<file path=xl/comments1.xml><?xml version="1.0" encoding="utf-8"?>
<comments xmlns="http://schemas.openxmlformats.org/spreadsheetml/2006/main">
  <authors>
    <author>1</author>
  </authors>
  <commentList>
    <comment ref="G10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снятие по температуре ГВС
</t>
        </r>
      </text>
    </comment>
    <comment ref="H10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снятие по темп. ГВС
</t>
        </r>
      </text>
    </comment>
    <comment ref="H29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454-Сокол
</t>
        </r>
      </text>
    </comment>
    <comment ref="J29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454-Сокол
</t>
        </r>
      </text>
    </comment>
    <comment ref="K38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10000 -Абрамова установка в подъезде фотореле -не вернули
</t>
        </r>
      </text>
    </comment>
  </commentList>
</comments>
</file>

<file path=xl/comments2.xml><?xml version="1.0" encoding="utf-8"?>
<comments xmlns="http://schemas.openxmlformats.org/spreadsheetml/2006/main">
  <authors>
    <author>1</author>
  </authors>
  <commentList>
    <comment ref="J31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1362 дополнительно Лесняк
</t>
        </r>
      </text>
    </comment>
    <comment ref="K31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1362 дополнительно Лесняк</t>
        </r>
      </text>
    </comment>
    <comment ref="K44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4946,2 промывка</t>
        </r>
      </text>
    </comment>
  </commentList>
</comments>
</file>

<file path=xl/comments3.xml><?xml version="1.0" encoding="utf-8"?>
<comments xmlns="http://schemas.openxmlformats.org/spreadsheetml/2006/main">
  <authors>
    <author>1</author>
  </authors>
  <commentList>
    <comment ref="H12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снятие по температуре ГВС
</t>
        </r>
      </text>
    </comment>
    <comment ref="I12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снятие по темп. ГВС
</t>
        </r>
      </text>
    </comment>
    <comment ref="I31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454-Сокол
</t>
        </r>
      </text>
    </comment>
  </commentList>
</comments>
</file>

<file path=xl/sharedStrings.xml><?xml version="1.0" encoding="utf-8"?>
<sst xmlns="http://schemas.openxmlformats.org/spreadsheetml/2006/main" count="603" uniqueCount="197">
  <si>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</si>
  <si>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</si>
  <si>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</si>
  <si>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</si>
  <si>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</si>
  <si>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</si>
  <si>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</si>
  <si>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</si>
  <si>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</si>
  <si>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</si>
  <si>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</si>
  <si>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</si>
  <si>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</si>
  <si>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</si>
  <si>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</si>
  <si>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</si>
  <si>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</si>
  <si>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</si>
  <si>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</si>
  <si>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</si>
  <si>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</si>
  <si>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</si>
  <si>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</si>
  <si>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</si>
  <si>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</si>
  <si>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</si>
  <si>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</si>
  <si>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</si>
  <si>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</si>
  <si>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</si>
  <si>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</si>
  <si>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</si>
  <si>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</si>
  <si>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</si>
  <si>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</si>
  <si>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</si>
  <si>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</si>
  <si>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</si>
  <si>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</si>
  <si>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</si>
  <si>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</si>
  <si>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</si>
  <si>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</si>
  <si>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</si>
  <si>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</si>
  <si>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</si>
  <si>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</si>
  <si>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</si>
  <si>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</si>
  <si>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</si>
  <si>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</si>
  <si>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</si>
  <si>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</si>
  <si>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</si>
  <si>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</si>
  <si>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</si>
  <si>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</si>
  <si>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</si>
  <si>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</si>
  <si>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</si>
  <si>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</si>
  <si>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</si>
  <si>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</si>
  <si>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</si>
  <si>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</si>
  <si>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</si>
  <si>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</si>
  <si>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</si>
  <si>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</si>
  <si>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</si>
  <si>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</si>
  <si>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</si>
  <si>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</si>
  <si>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</si>
  <si>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</si>
  <si>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</si>
  <si>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</si>
  <si>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</si>
  <si>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</si>
  <si>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</si>
  <si>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</si>
  <si>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</si>
  <si>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</si>
  <si>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</si>
  <si>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</si>
  <si>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</si>
  <si>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</si>
  <si>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</si>
  <si>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</si>
  <si>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</si>
  <si>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</si>
  <si>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</si>
  <si>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</si>
  <si>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</si>
  <si>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</si>
  <si>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</si>
  <si>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</si>
  <si>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</si>
  <si>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</si>
  <si>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</si>
  <si>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</si>
  <si>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</si>
  <si>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</si>
  <si>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</si>
  <si>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</si>
  <si>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</si>
  <si>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</si>
  <si>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</si>
  <si>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</si>
  <si>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</si>
  <si>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</si>
  <si>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</si>
  <si>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</si>
  <si>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</si>
  <si>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</si>
  <si>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</si>
  <si>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</si>
  <si>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</si>
  <si>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</si>
  <si>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</si>
  <si>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</si>
  <si>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</si>
  <si>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</si>
  <si>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</si>
  <si>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</si>
  <si>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>2.1.4</t>
  </si>
  <si>
    <t>Водоотведение</t>
  </si>
  <si>
    <t>Уборка двора</t>
  </si>
  <si>
    <t>1.2</t>
  </si>
  <si>
    <t>1.4</t>
  </si>
  <si>
    <t>1.5</t>
  </si>
  <si>
    <t>1.6</t>
  </si>
  <si>
    <t>1.7</t>
  </si>
  <si>
    <t>1.8</t>
  </si>
  <si>
    <t>1.9</t>
  </si>
  <si>
    <t>2.1.6</t>
  </si>
  <si>
    <t>2.1.7</t>
  </si>
  <si>
    <t>Холодное водосн.</t>
  </si>
  <si>
    <t>Отопление</t>
  </si>
  <si>
    <t>итого по дому</t>
  </si>
  <si>
    <t>отопление</t>
  </si>
  <si>
    <t>Содержание жил. Фонда</t>
  </si>
  <si>
    <t>Уборка подъездов</t>
  </si>
  <si>
    <t>Управление</t>
  </si>
  <si>
    <t>Текущий ремонт (подряды)</t>
  </si>
  <si>
    <t>Стоки</t>
  </si>
  <si>
    <t>Очистка стоков, водоотведение</t>
  </si>
  <si>
    <t>итого</t>
  </si>
  <si>
    <t>Уборка  придомов. Тер-ии</t>
  </si>
  <si>
    <t>всего расходы</t>
  </si>
  <si>
    <t>долг 2010</t>
  </si>
  <si>
    <t>обслуж. прибор.учета</t>
  </si>
  <si>
    <t>сан.обработка подвала</t>
  </si>
  <si>
    <t>судебные издержки</t>
  </si>
  <si>
    <t>1.10</t>
  </si>
  <si>
    <t>гор.вода ОДН</t>
  </si>
  <si>
    <t>1,11</t>
  </si>
  <si>
    <t>хол.вода ОДН</t>
  </si>
  <si>
    <t>Тех.обслуживание совм.имущ.</t>
  </si>
  <si>
    <t>аварийно-диспетчерская служба</t>
  </si>
  <si>
    <t xml:space="preserve">№ 67 по ул. Советская за период с 01.01.2012 по 31.12.2012 года </t>
  </si>
  <si>
    <t>площадь по л.с.-4208,48</t>
  </si>
  <si>
    <t>Отопление ОДН</t>
  </si>
  <si>
    <t>Директор ООО "Сервис - Лайн"</t>
  </si>
  <si>
    <t>Логашева Т.В.</t>
  </si>
  <si>
    <t>Представитель собственников</t>
  </si>
  <si>
    <t xml:space="preserve">№ 67 по ул. Советская за 2013 года </t>
  </si>
  <si>
    <t>долг 2012</t>
  </si>
  <si>
    <t xml:space="preserve">итого </t>
  </si>
  <si>
    <t xml:space="preserve">всего </t>
  </si>
  <si>
    <t>ИТОГО расходы по дому</t>
  </si>
  <si>
    <t xml:space="preserve">Текущий ремонт </t>
  </si>
  <si>
    <t>1,4</t>
  </si>
  <si>
    <t>1,5</t>
  </si>
  <si>
    <t>1,6</t>
  </si>
  <si>
    <t>1,7</t>
  </si>
  <si>
    <t>1,8</t>
  </si>
  <si>
    <t>1,9</t>
  </si>
  <si>
    <t>1,10</t>
  </si>
  <si>
    <t>3,1</t>
  </si>
  <si>
    <t>3</t>
  </si>
  <si>
    <t>3,2</t>
  </si>
  <si>
    <t>3,3.</t>
  </si>
  <si>
    <t>3.4.</t>
  </si>
  <si>
    <t>3.5</t>
  </si>
  <si>
    <t>3.6</t>
  </si>
  <si>
    <t>3.7</t>
  </si>
  <si>
    <t>3.8</t>
  </si>
  <si>
    <t xml:space="preserve"> водоотведение</t>
  </si>
  <si>
    <t>эк 12г=1344</t>
  </si>
  <si>
    <r>
      <rPr>
        <b/>
        <sz val="10"/>
        <rFont val="Arial"/>
        <family val="2"/>
        <charset val="204"/>
      </rPr>
      <t>103261</t>
    </r>
    <r>
      <rPr>
        <sz val="10"/>
        <rFont val="Arial"/>
      </rPr>
      <t>перераб 2012г.</t>
    </r>
  </si>
  <si>
    <t>план текущ.ремонт-233823,14</t>
  </si>
  <si>
    <t>израсходовано-66470,долг 103261</t>
  </si>
  <si>
    <t>всего израсх-169731,0 +34828-косм.ремонт</t>
  </si>
  <si>
    <t>итого-204559,0</t>
  </si>
  <si>
    <t xml:space="preserve">1,2 с 01октября </t>
  </si>
  <si>
    <t xml:space="preserve">поверка приборов учета 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</si>
</sst>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9"/>
      <name val="Arial"/>
      <family val="2"/>
    </font>
    <font>
      <sz val="9"/>
      <color theme="1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4" xfId="0" applyFont="1" applyFill="1" applyBorder="1" applyAlignment="1"/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1" fontId="14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1" fontId="17" fillId="0" borderId="1" xfId="0" applyNumberFormat="1" applyFont="1" applyFill="1" applyBorder="1" applyAlignment="1">
      <alignment horizontal="right"/>
    </xf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3" xfId="0" applyNumberFormat="1" applyFont="1" applyFill="1" applyBorder="1" applyAlignment="1"/>
    <xf numFmtId="1" fontId="14" fillId="0" borderId="1" xfId="0" applyNumberFormat="1" applyFont="1" applyFill="1" applyBorder="1" applyAlignment="1"/>
    <xf numFmtId="1" fontId="18" fillId="0" borderId="1" xfId="0" applyNumberFormat="1" applyFont="1" applyFill="1" applyBorder="1" applyAlignment="1"/>
    <xf numFmtId="1" fontId="17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17" fillId="0" borderId="1" xfId="0" applyFont="1" applyFill="1" applyBorder="1"/>
    <xf numFmtId="0" fontId="14" fillId="0" borderId="1" xfId="0" applyFont="1" applyFill="1" applyBorder="1"/>
    <xf numFmtId="1" fontId="18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0" fontId="17" fillId="0" borderId="1" xfId="0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right"/>
    </xf>
    <xf numFmtId="0" fontId="0" fillId="0" borderId="0" xfId="0" applyFill="1"/>
    <xf numFmtId="2" fontId="0" fillId="0" borderId="0" xfId="0" applyNumberFormat="1" applyFill="1"/>
    <xf numFmtId="1" fontId="0" fillId="0" borderId="0" xfId="0" applyNumberFormat="1" applyFill="1"/>
    <xf numFmtId="0" fontId="14" fillId="0" borderId="0" xfId="0" applyFont="1" applyFill="1" applyAlignment="1">
      <alignment horizontal="center"/>
    </xf>
    <xf numFmtId="0" fontId="16" fillId="0" borderId="0" xfId="0" applyFont="1" applyFill="1"/>
    <xf numFmtId="0" fontId="3" fillId="0" borderId="0" xfId="0" applyFont="1" applyFill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0" fillId="0" borderId="1" xfId="0" applyFill="1" applyBorder="1"/>
    <xf numFmtId="1" fontId="15" fillId="0" borderId="4" xfId="0" applyNumberFormat="1" applyFont="1" applyFill="1" applyBorder="1"/>
    <xf numFmtId="0" fontId="0" fillId="0" borderId="0" xfId="0" applyFill="1" applyBorder="1"/>
    <xf numFmtId="0" fontId="17" fillId="0" borderId="0" xfId="0" applyFont="1" applyFill="1" applyBorder="1"/>
    <xf numFmtId="0" fontId="0" fillId="0" borderId="5" xfId="0" applyFill="1" applyBorder="1"/>
    <xf numFmtId="164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1" fontId="7" fillId="0" borderId="1" xfId="0" applyNumberFormat="1" applyFont="1" applyFill="1" applyBorder="1"/>
    <xf numFmtId="0" fontId="4" fillId="0" borderId="1" xfId="0" applyFont="1" applyFill="1" applyBorder="1"/>
    <xf numFmtId="1" fontId="4" fillId="0" borderId="1" xfId="0" applyNumberFormat="1" applyFont="1" applyFill="1" applyBorder="1"/>
    <xf numFmtId="1" fontId="7" fillId="0" borderId="1" xfId="0" applyNumberFormat="1" applyFont="1" applyFill="1" applyBorder="1" applyAlignment="1">
      <alignment horizontal="right"/>
    </xf>
    <xf numFmtId="9" fontId="17" fillId="0" borderId="1" xfId="0" applyNumberFormat="1" applyFont="1" applyFill="1" applyBorder="1" applyAlignment="1">
      <alignment horizontal="left"/>
    </xf>
    <xf numFmtId="1" fontId="17" fillId="3" borderId="1" xfId="0" applyNumberFormat="1" applyFont="1" applyFill="1" applyBorder="1" applyAlignment="1"/>
    <xf numFmtId="1" fontId="17" fillId="3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49" fontId="14" fillId="4" borderId="1" xfId="0" applyNumberFormat="1" applyFont="1" applyFill="1" applyBorder="1"/>
    <xf numFmtId="0" fontId="4" fillId="4" borderId="1" xfId="0" applyFont="1" applyFill="1" applyBorder="1"/>
    <xf numFmtId="0" fontId="7" fillId="4" borderId="1" xfId="0" applyFont="1" applyFill="1" applyBorder="1" applyAlignment="1">
      <alignment horizontal="right"/>
    </xf>
    <xf numFmtId="1" fontId="17" fillId="4" borderId="1" xfId="0" applyNumberFormat="1" applyFont="1" applyFill="1" applyBorder="1" applyAlignment="1">
      <alignment horizontal="center"/>
    </xf>
    <xf numFmtId="1" fontId="17" fillId="5" borderId="1" xfId="0" applyNumberFormat="1" applyFont="1" applyFill="1" applyBorder="1" applyAlignment="1"/>
    <xf numFmtId="1" fontId="17" fillId="5" borderId="1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98" t="s">
        <v>92</v>
      </c>
      <c r="C1" s="98"/>
      <c r="D1" s="98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98" t="s">
        <v>92</v>
      </c>
      <c r="C38" s="98"/>
      <c r="D38" s="98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99" t="s">
        <v>0</v>
      </c>
      <c r="B1" s="99"/>
      <c r="C1" s="99"/>
      <c r="D1" s="99"/>
      <c r="E1" s="99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0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0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0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0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0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0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0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0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0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0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0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0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0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0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0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0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0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0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0"/>
    </row>
    <row r="27" spans="1:7">
      <c r="A27" s="2"/>
      <c r="B27" s="3"/>
      <c r="C27" s="10"/>
      <c r="D27" s="10"/>
      <c r="E27" s="10"/>
      <c r="F27" s="10"/>
      <c r="G27" s="40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0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0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0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0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0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0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0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0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0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0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0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0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0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0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0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0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0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0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0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0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0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0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0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0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0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0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0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0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0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99" t="s">
        <v>0</v>
      </c>
      <c r="B1" s="99"/>
      <c r="C1" s="99"/>
      <c r="D1" s="99"/>
      <c r="E1" s="99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3"/>
  <sheetViews>
    <sheetView tabSelected="1" topLeftCell="A4" zoomScale="110" zoomScaleNormal="110" workbookViewId="0">
      <selection activeCell="P29" sqref="P29"/>
    </sheetView>
  </sheetViews>
  <sheetFormatPr defaultColWidth="9.140625" defaultRowHeight="12.75"/>
  <cols>
    <col min="1" max="1" width="5.85546875" style="66" customWidth="1"/>
    <col min="2" max="2" width="30.7109375" style="66" customWidth="1"/>
    <col min="3" max="3" width="7.85546875" style="66" customWidth="1"/>
    <col min="4" max="10" width="7" style="66" bestFit="1" customWidth="1"/>
    <col min="11" max="11" width="7.5703125" style="66" bestFit="1" customWidth="1"/>
    <col min="12" max="12" width="7" style="66" customWidth="1"/>
    <col min="13" max="13" width="6.7109375" style="66" customWidth="1"/>
    <col min="14" max="14" width="7" style="66" customWidth="1"/>
    <col min="15" max="15" width="7.140625" style="66" customWidth="1"/>
    <col min="16" max="16" width="8" style="66" bestFit="1" customWidth="1"/>
    <col min="17" max="17" width="9" style="66" customWidth="1"/>
    <col min="18" max="18" width="9.28515625" style="66" customWidth="1"/>
    <col min="19" max="19" width="10.7109375" style="66" bestFit="1" customWidth="1"/>
    <col min="20" max="21" width="8" style="66" bestFit="1" customWidth="1"/>
    <col min="22" max="16384" width="9.140625" style="66"/>
  </cols>
  <sheetData>
    <row r="1" spans="1:18" ht="14.25" customHeight="1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</row>
    <row r="2" spans="1:18">
      <c r="A2" s="100" t="s">
        <v>17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8" ht="12.75" customHeight="1">
      <c r="A3" s="100" t="s">
        <v>166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</row>
    <row r="4" spans="1:18" ht="12.75" customHeight="1">
      <c r="A4" s="69"/>
      <c r="B4" s="69"/>
      <c r="C4" s="69"/>
      <c r="D4" s="69"/>
      <c r="E4" s="69"/>
      <c r="F4" s="69"/>
      <c r="G4" s="69"/>
      <c r="H4" s="69"/>
      <c r="I4" s="69"/>
      <c r="J4" s="69"/>
      <c r="K4" s="72" t="s">
        <v>161</v>
      </c>
      <c r="L4" s="69"/>
      <c r="M4" s="69"/>
      <c r="N4" s="69"/>
      <c r="O4" s="69"/>
      <c r="P4" s="69"/>
    </row>
    <row r="5" spans="1:18" ht="27.75" customHeight="1">
      <c r="A5" s="45"/>
      <c r="B5" s="45" t="s">
        <v>5</v>
      </c>
      <c r="C5" s="46" t="s">
        <v>167</v>
      </c>
      <c r="D5" s="47" t="s">
        <v>108</v>
      </c>
      <c r="E5" s="47" t="s">
        <v>31</v>
      </c>
      <c r="F5" s="47" t="s">
        <v>32</v>
      </c>
      <c r="G5" s="47" t="s">
        <v>33</v>
      </c>
      <c r="H5" s="47" t="s">
        <v>34</v>
      </c>
      <c r="I5" s="47" t="s">
        <v>35</v>
      </c>
      <c r="J5" s="47" t="s">
        <v>36</v>
      </c>
      <c r="K5" s="47" t="s">
        <v>37</v>
      </c>
      <c r="L5" s="47" t="s">
        <v>26</v>
      </c>
      <c r="M5" s="47" t="s">
        <v>27</v>
      </c>
      <c r="N5" s="47" t="s">
        <v>28</v>
      </c>
      <c r="O5" s="47" t="s">
        <v>107</v>
      </c>
      <c r="P5" s="45" t="s">
        <v>25</v>
      </c>
      <c r="Q5" s="44"/>
    </row>
    <row r="6" spans="1:18" ht="12" customHeight="1">
      <c r="A6" s="45" t="s">
        <v>1</v>
      </c>
      <c r="B6" s="48" t="s">
        <v>59</v>
      </c>
      <c r="C6" s="48">
        <v>396333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9"/>
    </row>
    <row r="7" spans="1:18">
      <c r="A7" s="50" t="s">
        <v>43</v>
      </c>
      <c r="B7" s="51" t="s">
        <v>7</v>
      </c>
      <c r="C7" s="51"/>
      <c r="D7" s="52">
        <v>42084.800000000003</v>
      </c>
      <c r="E7" s="52">
        <v>42084.800000000003</v>
      </c>
      <c r="F7" s="96">
        <v>42038.27</v>
      </c>
      <c r="G7" s="96">
        <v>41719.86</v>
      </c>
      <c r="H7" s="96">
        <v>42050.8</v>
      </c>
      <c r="I7" s="53">
        <v>42050.8</v>
      </c>
      <c r="J7" s="53">
        <v>41431.800000000003</v>
      </c>
      <c r="K7" s="53">
        <v>38897.11</v>
      </c>
      <c r="L7" s="53">
        <v>42050.8</v>
      </c>
      <c r="M7" s="53">
        <v>32802</v>
      </c>
      <c r="N7" s="53">
        <v>41398.800000000003</v>
      </c>
      <c r="O7" s="53">
        <v>41398.800000000003</v>
      </c>
      <c r="P7" s="54">
        <f>SUM(D7:O7)</f>
        <v>490008.6399999999</v>
      </c>
    </row>
    <row r="8" spans="1:18">
      <c r="A8" s="50" t="s">
        <v>128</v>
      </c>
      <c r="B8" s="51" t="s">
        <v>138</v>
      </c>
      <c r="C8" s="88">
        <v>0.48</v>
      </c>
      <c r="D8" s="52">
        <v>99055.51</v>
      </c>
      <c r="E8" s="52">
        <v>64757.74</v>
      </c>
      <c r="F8" s="53">
        <v>58635.81</v>
      </c>
      <c r="G8" s="53">
        <v>44149.74</v>
      </c>
      <c r="H8" s="53">
        <v>14755</v>
      </c>
      <c r="I8" s="53">
        <v>0</v>
      </c>
      <c r="J8" s="53">
        <v>3856.16</v>
      </c>
      <c r="K8" s="53">
        <v>3110.69</v>
      </c>
      <c r="L8" s="53">
        <v>0</v>
      </c>
      <c r="M8" s="53">
        <v>-2777.76</v>
      </c>
      <c r="N8" s="53">
        <v>0</v>
      </c>
      <c r="O8" s="53">
        <v>0</v>
      </c>
      <c r="P8" s="54">
        <f t="shared" ref="P8:P17" si="0">SUM(D8:O8)</f>
        <v>285542.88999999996</v>
      </c>
      <c r="R8" s="68"/>
    </row>
    <row r="9" spans="1:18">
      <c r="A9" s="50"/>
      <c r="B9" s="51" t="s">
        <v>162</v>
      </c>
      <c r="C9" s="51"/>
      <c r="D9" s="52"/>
      <c r="E9" s="52">
        <v>17698.740000000002</v>
      </c>
      <c r="F9" s="52">
        <v>3084.4</v>
      </c>
      <c r="G9" s="52">
        <v>2531.3000000000002</v>
      </c>
      <c r="H9" s="53">
        <v>738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4">
        <f t="shared" ref="P9" si="1">SUM(D9:O9)</f>
        <v>24052.440000000002</v>
      </c>
      <c r="Q9" s="67"/>
    </row>
    <row r="10" spans="1:18">
      <c r="A10" s="50" t="s">
        <v>45</v>
      </c>
      <c r="B10" s="51" t="s">
        <v>40</v>
      </c>
      <c r="C10" s="51"/>
      <c r="D10" s="52">
        <v>8445.67</v>
      </c>
      <c r="E10" s="52">
        <v>7414.52</v>
      </c>
      <c r="F10" s="53">
        <v>18198.78</v>
      </c>
      <c r="G10" s="89">
        <v>7379.95</v>
      </c>
      <c r="H10" s="53">
        <v>6139.5</v>
      </c>
      <c r="I10" s="53">
        <v>87.48</v>
      </c>
      <c r="J10" s="53">
        <v>6066.88</v>
      </c>
      <c r="K10" s="53">
        <v>2898.57</v>
      </c>
      <c r="L10" s="53">
        <v>349.92</v>
      </c>
      <c r="M10" s="53">
        <v>0</v>
      </c>
      <c r="N10" s="53">
        <v>0</v>
      </c>
      <c r="O10" s="53">
        <v>0</v>
      </c>
      <c r="P10" s="54">
        <f t="shared" si="0"/>
        <v>56981.27</v>
      </c>
    </row>
    <row r="11" spans="1:18">
      <c r="A11" s="50" t="s">
        <v>172</v>
      </c>
      <c r="B11" s="51" t="s">
        <v>155</v>
      </c>
      <c r="C11" s="51"/>
      <c r="D11" s="52">
        <v>5074.7299999999996</v>
      </c>
      <c r="E11" s="52">
        <v>6475.27</v>
      </c>
      <c r="F11" s="52">
        <v>-3060.06</v>
      </c>
      <c r="G11" s="52">
        <v>2145</v>
      </c>
      <c r="H11" s="53">
        <v>4316.26</v>
      </c>
      <c r="I11" s="53">
        <v>0</v>
      </c>
      <c r="J11" s="53">
        <v>1434.65</v>
      </c>
      <c r="K11" s="53">
        <v>1760.84</v>
      </c>
      <c r="L11" s="53">
        <v>0</v>
      </c>
      <c r="M11" s="53">
        <v>0</v>
      </c>
      <c r="N11" s="53">
        <v>0</v>
      </c>
      <c r="O11" s="53">
        <v>0</v>
      </c>
      <c r="P11" s="54">
        <f>SUM(D11:O11)</f>
        <v>18146.690000000002</v>
      </c>
    </row>
    <row r="12" spans="1:18">
      <c r="A12" s="50" t="s">
        <v>173</v>
      </c>
      <c r="B12" s="51" t="s">
        <v>42</v>
      </c>
      <c r="C12" s="51"/>
      <c r="D12" s="52">
        <v>42253.95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4">
        <f t="shared" si="0"/>
        <v>42253.95</v>
      </c>
    </row>
    <row r="13" spans="1:18">
      <c r="A13" s="50" t="s">
        <v>174</v>
      </c>
      <c r="B13" s="51" t="s">
        <v>8</v>
      </c>
      <c r="C13" s="51"/>
      <c r="D13" s="52">
        <v>2638.26</v>
      </c>
      <c r="E13" s="52">
        <v>1987.8</v>
      </c>
      <c r="F13" s="53">
        <v>3715.68</v>
      </c>
      <c r="G13" s="53">
        <v>4357.96</v>
      </c>
      <c r="H13" s="53">
        <v>3211.21</v>
      </c>
      <c r="I13" s="53">
        <v>2357.75</v>
      </c>
      <c r="J13" s="53">
        <v>4389.3599999999997</v>
      </c>
      <c r="K13" s="53">
        <v>6294.1</v>
      </c>
      <c r="L13" s="53">
        <v>4212.71</v>
      </c>
      <c r="M13" s="53">
        <v>0</v>
      </c>
      <c r="N13" s="53">
        <v>0</v>
      </c>
      <c r="O13" s="53">
        <v>0</v>
      </c>
      <c r="P13" s="54">
        <f t="shared" si="0"/>
        <v>33164.83</v>
      </c>
    </row>
    <row r="14" spans="1:18">
      <c r="A14" s="50" t="s">
        <v>175</v>
      </c>
      <c r="B14" s="51" t="s">
        <v>157</v>
      </c>
      <c r="C14" s="51"/>
      <c r="D14" s="52">
        <v>812.31</v>
      </c>
      <c r="E14" s="52">
        <v>885.18</v>
      </c>
      <c r="F14" s="52">
        <v>-971.5</v>
      </c>
      <c r="G14" s="52">
        <v>0</v>
      </c>
      <c r="H14" s="53">
        <v>1712.48</v>
      </c>
      <c r="I14" s="53">
        <v>326.52</v>
      </c>
      <c r="J14" s="53">
        <v>358.27</v>
      </c>
      <c r="K14" s="53">
        <v>358.27</v>
      </c>
      <c r="L14" s="53">
        <v>358.27</v>
      </c>
      <c r="M14" s="53">
        <v>0</v>
      </c>
      <c r="N14" s="53">
        <v>0</v>
      </c>
      <c r="O14" s="53">
        <v>0</v>
      </c>
      <c r="P14" s="54">
        <f>SUM(D14:O14)</f>
        <v>3839.7999999999997</v>
      </c>
      <c r="Q14" s="67"/>
    </row>
    <row r="15" spans="1:18">
      <c r="A15" s="50" t="s">
        <v>176</v>
      </c>
      <c r="B15" s="51" t="s">
        <v>126</v>
      </c>
      <c r="C15" s="51"/>
      <c r="D15" s="52">
        <v>3031</v>
      </c>
      <c r="E15" s="52">
        <v>2974.38</v>
      </c>
      <c r="F15" s="53">
        <v>7073.84</v>
      </c>
      <c r="G15" s="53">
        <v>5316.47</v>
      </c>
      <c r="H15" s="53">
        <v>4154.07</v>
      </c>
      <c r="I15" s="53">
        <v>1895.06</v>
      </c>
      <c r="J15" s="53">
        <v>4946.8500000000004</v>
      </c>
      <c r="K15" s="53">
        <v>6163.78</v>
      </c>
      <c r="L15" s="53">
        <v>4605.66</v>
      </c>
      <c r="M15" s="53">
        <v>-3658.11</v>
      </c>
      <c r="N15" s="53">
        <v>0</v>
      </c>
      <c r="O15" s="53">
        <v>0</v>
      </c>
      <c r="P15" s="54">
        <f t="shared" si="0"/>
        <v>36503</v>
      </c>
    </row>
    <row r="16" spans="1:18">
      <c r="A16" s="50" t="s">
        <v>177</v>
      </c>
      <c r="B16" s="51" t="s">
        <v>10</v>
      </c>
      <c r="C16" s="51"/>
      <c r="D16" s="52">
        <v>2121.14</v>
      </c>
      <c r="E16" s="52">
        <v>2083</v>
      </c>
      <c r="F16" s="53">
        <v>2671.23</v>
      </c>
      <c r="G16" s="53">
        <v>2838.34</v>
      </c>
      <c r="H16" s="53">
        <v>2865.77</v>
      </c>
      <c r="I16" s="53">
        <v>2865.77</v>
      </c>
      <c r="J16" s="55">
        <v>2457.73</v>
      </c>
      <c r="K16" s="53">
        <v>2457.71</v>
      </c>
      <c r="L16" s="53">
        <v>2457.71</v>
      </c>
      <c r="M16" s="53">
        <v>2444.9699999999998</v>
      </c>
      <c r="N16" s="53">
        <v>2455.79</v>
      </c>
      <c r="O16" s="53">
        <v>2455.79</v>
      </c>
      <c r="P16" s="54">
        <f t="shared" si="0"/>
        <v>30174.95</v>
      </c>
    </row>
    <row r="17" spans="1:20">
      <c r="A17" s="50" t="s">
        <v>178</v>
      </c>
      <c r="B17" s="51" t="s">
        <v>127</v>
      </c>
      <c r="C17" s="51"/>
      <c r="D17" s="52">
        <v>6312.73</v>
      </c>
      <c r="E17" s="52">
        <v>6313</v>
      </c>
      <c r="F17" s="53">
        <v>6307.63</v>
      </c>
      <c r="G17" s="53">
        <v>6307.84</v>
      </c>
      <c r="H17" s="53">
        <v>6307.63</v>
      </c>
      <c r="I17" s="53">
        <v>6307.71</v>
      </c>
      <c r="J17" s="53">
        <v>6307.63</v>
      </c>
      <c r="K17" s="53">
        <v>6307.63</v>
      </c>
      <c r="L17" s="53">
        <v>6307.63</v>
      </c>
      <c r="M17" s="53">
        <v>5906.73</v>
      </c>
      <c r="N17" s="53">
        <v>6302.68</v>
      </c>
      <c r="O17" s="53">
        <v>6302.68</v>
      </c>
      <c r="P17" s="54">
        <f t="shared" si="0"/>
        <v>75291.51999999999</v>
      </c>
    </row>
    <row r="18" spans="1:20" ht="13.5" customHeight="1">
      <c r="A18" s="50"/>
      <c r="B18" s="48" t="s">
        <v>60</v>
      </c>
      <c r="C18" s="51"/>
      <c r="D18" s="52">
        <f t="shared" ref="D18:P18" si="2">SUM(D7:D17)</f>
        <v>211830.10000000006</v>
      </c>
      <c r="E18" s="52">
        <f t="shared" si="2"/>
        <v>152674.43</v>
      </c>
      <c r="F18" s="52">
        <f t="shared" si="2"/>
        <v>137694.07999999999</v>
      </c>
      <c r="G18" s="97">
        <f t="shared" si="2"/>
        <v>116746.46</v>
      </c>
      <c r="H18" s="97">
        <f t="shared" si="2"/>
        <v>86250.720000000016</v>
      </c>
      <c r="I18" s="52">
        <f t="shared" si="2"/>
        <v>55891.09</v>
      </c>
      <c r="J18" s="52">
        <f t="shared" si="2"/>
        <v>71249.33</v>
      </c>
      <c r="K18" s="52">
        <f t="shared" si="2"/>
        <v>68248.7</v>
      </c>
      <c r="L18" s="52">
        <f t="shared" si="2"/>
        <v>60342.7</v>
      </c>
      <c r="M18" s="52">
        <f t="shared" si="2"/>
        <v>34717.83</v>
      </c>
      <c r="N18" s="52">
        <f t="shared" si="2"/>
        <v>50157.270000000004</v>
      </c>
      <c r="O18" s="52">
        <f t="shared" si="2"/>
        <v>50157.270000000004</v>
      </c>
      <c r="P18" s="87">
        <f t="shared" si="2"/>
        <v>1095959.9799999995</v>
      </c>
      <c r="Q18" s="68"/>
    </row>
    <row r="19" spans="1:20" ht="12.75" customHeight="1">
      <c r="A19" s="50"/>
      <c r="B19" s="48" t="s">
        <v>61</v>
      </c>
      <c r="C19" s="51"/>
      <c r="D19" s="52">
        <v>153585</v>
      </c>
      <c r="E19" s="52">
        <v>174153</v>
      </c>
      <c r="F19" s="58">
        <v>72219</v>
      </c>
      <c r="G19" s="58">
        <v>130636.29</v>
      </c>
      <c r="H19" s="58">
        <v>88319.7</v>
      </c>
      <c r="I19" s="58">
        <v>58311.19</v>
      </c>
      <c r="J19" s="58">
        <v>71197.13</v>
      </c>
      <c r="K19" s="58">
        <v>48798.76</v>
      </c>
      <c r="L19" s="58">
        <v>68912.5</v>
      </c>
      <c r="M19" s="58">
        <v>48218.68</v>
      </c>
      <c r="N19" s="58">
        <v>111245.95</v>
      </c>
      <c r="O19" s="58">
        <v>39710.050000000003</v>
      </c>
      <c r="P19" s="86">
        <f>SUM(D19:O19)</f>
        <v>1065307.25</v>
      </c>
    </row>
    <row r="20" spans="1:20" ht="12.75" hidden="1" customHeight="1">
      <c r="A20" s="45"/>
      <c r="B20" s="51"/>
      <c r="C20" s="51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4">
        <f>SUM(D20:O20)</f>
        <v>0</v>
      </c>
    </row>
    <row r="21" spans="1:20" hidden="1">
      <c r="A21" s="45"/>
      <c r="B21" s="48" t="s">
        <v>139</v>
      </c>
      <c r="C21" s="51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4"/>
    </row>
    <row r="22" spans="1:20" hidden="1">
      <c r="A22" s="45" t="s">
        <v>3</v>
      </c>
      <c r="B22" s="48" t="s">
        <v>41</v>
      </c>
      <c r="C22" s="48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4"/>
    </row>
    <row r="23" spans="1:20">
      <c r="A23" s="45" t="s">
        <v>11</v>
      </c>
      <c r="B23" s="51" t="s">
        <v>12</v>
      </c>
      <c r="C23" s="51"/>
      <c r="D23" s="54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6"/>
      <c r="P23" s="54"/>
      <c r="Q23" s="68" t="s">
        <v>189</v>
      </c>
    </row>
    <row r="24" spans="1:20">
      <c r="A24" s="50" t="s">
        <v>19</v>
      </c>
      <c r="B24" s="51" t="s">
        <v>140</v>
      </c>
      <c r="C24" s="51"/>
      <c r="D24" s="53">
        <v>108130.75</v>
      </c>
      <c r="E24" s="53">
        <v>82881.45</v>
      </c>
      <c r="F24" s="53">
        <v>61731.81</v>
      </c>
      <c r="G24" s="53">
        <v>44194.93</v>
      </c>
      <c r="H24" s="53">
        <v>14770.24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4">
        <f t="shared" ref="P24:P29" si="3">SUM(D24:O24)</f>
        <v>311709.18</v>
      </c>
      <c r="Q24" s="75">
        <f>P24-P8-P9</f>
        <v>2113.8500000000349</v>
      </c>
      <c r="R24" s="76"/>
      <c r="S24" s="68"/>
      <c r="T24" s="68"/>
    </row>
    <row r="25" spans="1:20">
      <c r="A25" s="50" t="s">
        <v>20</v>
      </c>
      <c r="B25" s="51" t="s">
        <v>40</v>
      </c>
      <c r="C25" s="51"/>
      <c r="D25" s="53">
        <v>13520.66</v>
      </c>
      <c r="E25" s="53">
        <v>13977.51</v>
      </c>
      <c r="F25" s="53">
        <v>15315.42</v>
      </c>
      <c r="G25" s="89">
        <v>17385.93</v>
      </c>
      <c r="H25" s="89">
        <v>11736.83</v>
      </c>
      <c r="I25" s="53">
        <v>0</v>
      </c>
      <c r="J25" s="53">
        <v>0</v>
      </c>
      <c r="K25" s="53">
        <v>3690.66</v>
      </c>
      <c r="L25" s="53">
        <v>4244.7299999999996</v>
      </c>
      <c r="M25" s="53">
        <v>0</v>
      </c>
      <c r="N25" s="53">
        <v>0</v>
      </c>
      <c r="O25" s="53">
        <v>0</v>
      </c>
      <c r="P25" s="54">
        <f t="shared" si="3"/>
        <v>79871.739999999991</v>
      </c>
      <c r="Q25" s="68">
        <f>P10+P11-P25</f>
        <v>-4743.7799999999988</v>
      </c>
    </row>
    <row r="26" spans="1:20">
      <c r="A26" s="50" t="s">
        <v>21</v>
      </c>
      <c r="B26" s="51" t="s">
        <v>58</v>
      </c>
      <c r="C26" s="51"/>
      <c r="D26" s="57">
        <v>26549.26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4">
        <f t="shared" si="3"/>
        <v>26549.26</v>
      </c>
      <c r="Q26" s="68">
        <f>P12-P26</f>
        <v>15704.689999999999</v>
      </c>
    </row>
    <row r="27" spans="1:20">
      <c r="A27" s="50" t="s">
        <v>125</v>
      </c>
      <c r="B27" s="51" t="s">
        <v>137</v>
      </c>
      <c r="C27" s="51"/>
      <c r="D27" s="55">
        <v>3786.03</v>
      </c>
      <c r="E27" s="53">
        <v>3347.07</v>
      </c>
      <c r="F27" s="53">
        <v>2784.97</v>
      </c>
      <c r="G27" s="53">
        <v>2564</v>
      </c>
      <c r="H27" s="53">
        <v>4410.75</v>
      </c>
      <c r="I27" s="53">
        <v>4345.33</v>
      </c>
      <c r="J27" s="53">
        <v>4253.49</v>
      </c>
      <c r="K27" s="53">
        <v>4202.59</v>
      </c>
      <c r="L27" s="53">
        <v>4906.5</v>
      </c>
      <c r="M27" s="53">
        <v>0</v>
      </c>
      <c r="N27" s="53">
        <v>0</v>
      </c>
      <c r="O27" s="53">
        <v>0</v>
      </c>
      <c r="P27" s="54">
        <f t="shared" si="3"/>
        <v>34600.729999999996</v>
      </c>
      <c r="Q27" s="68">
        <f>P13+P14-P27</f>
        <v>2403.9000000000087</v>
      </c>
    </row>
    <row r="28" spans="1:20">
      <c r="A28" s="50" t="s">
        <v>57</v>
      </c>
      <c r="B28" s="51" t="s">
        <v>188</v>
      </c>
      <c r="C28" s="51"/>
      <c r="D28" s="53">
        <v>4850.7700000000004</v>
      </c>
      <c r="E28" s="53">
        <v>4598.9399999999996</v>
      </c>
      <c r="F28" s="53">
        <v>4108.58</v>
      </c>
      <c r="G28" s="53">
        <v>4220.24</v>
      </c>
      <c r="H28" s="53">
        <v>5252.74</v>
      </c>
      <c r="I28" s="53">
        <v>3179.75</v>
      </c>
      <c r="J28" s="53">
        <v>3523.44</v>
      </c>
      <c r="K28" s="53">
        <v>4029.7</v>
      </c>
      <c r="L28" s="53">
        <v>3604.92</v>
      </c>
      <c r="M28" s="53">
        <v>0</v>
      </c>
      <c r="N28" s="53">
        <v>0</v>
      </c>
      <c r="O28" s="53">
        <v>0</v>
      </c>
      <c r="P28" s="54">
        <f>SUM(D28:O28)</f>
        <v>37369.079999999994</v>
      </c>
      <c r="Q28" s="68">
        <f>P15-P28</f>
        <v>-866.07999999999447</v>
      </c>
    </row>
    <row r="29" spans="1:20">
      <c r="A29" s="50" t="s">
        <v>135</v>
      </c>
      <c r="B29" s="51" t="s">
        <v>10</v>
      </c>
      <c r="C29" s="51"/>
      <c r="D29" s="53">
        <v>2797.68</v>
      </c>
      <c r="E29" s="53">
        <v>3028.08</v>
      </c>
      <c r="F29" s="53">
        <v>2200</v>
      </c>
      <c r="G29" s="53">
        <v>2661</v>
      </c>
      <c r="H29" s="53">
        <v>2654</v>
      </c>
      <c r="I29" s="53">
        <v>2200</v>
      </c>
      <c r="J29" s="53">
        <v>3108</v>
      </c>
      <c r="K29" s="53">
        <v>1816</v>
      </c>
      <c r="L29" s="53">
        <v>2270</v>
      </c>
      <c r="M29" s="53">
        <v>2724</v>
      </c>
      <c r="N29" s="53">
        <v>2270</v>
      </c>
      <c r="O29" s="53">
        <v>2270</v>
      </c>
      <c r="P29" s="54">
        <f t="shared" si="3"/>
        <v>29998.760000000002</v>
      </c>
      <c r="Q29" s="68">
        <f>P16-P29</f>
        <v>176.18999999999869</v>
      </c>
      <c r="R29" s="68"/>
    </row>
    <row r="30" spans="1:20">
      <c r="A30" s="50"/>
      <c r="B30" s="51" t="s">
        <v>52</v>
      </c>
      <c r="C30" s="51"/>
      <c r="D30" s="49">
        <f>SUM(D24:D29)</f>
        <v>159635.15</v>
      </c>
      <c r="E30" s="49">
        <f t="shared" ref="E30:O30" si="4">SUM(E24:E29)</f>
        <v>107833.05</v>
      </c>
      <c r="F30" s="49">
        <f t="shared" si="4"/>
        <v>86140.78</v>
      </c>
      <c r="G30" s="49">
        <f t="shared" si="4"/>
        <v>71026.100000000006</v>
      </c>
      <c r="H30" s="49">
        <f t="shared" si="4"/>
        <v>38824.559999999998</v>
      </c>
      <c r="I30" s="49">
        <f t="shared" si="4"/>
        <v>9725.08</v>
      </c>
      <c r="J30" s="49">
        <f t="shared" si="4"/>
        <v>10884.93</v>
      </c>
      <c r="K30" s="49">
        <f t="shared" si="4"/>
        <v>13738.95</v>
      </c>
      <c r="L30" s="49">
        <f t="shared" si="4"/>
        <v>15026.15</v>
      </c>
      <c r="M30" s="49">
        <f t="shared" si="4"/>
        <v>2724</v>
      </c>
      <c r="N30" s="49">
        <f t="shared" si="4"/>
        <v>2270</v>
      </c>
      <c r="O30" s="49">
        <f t="shared" si="4"/>
        <v>2270</v>
      </c>
      <c r="P30" s="49">
        <f>SUM(P24:P29)</f>
        <v>520098.75</v>
      </c>
      <c r="Q30" s="68">
        <f>Q24+Q25+Q26+Q27+Q28+Q29</f>
        <v>14788.770000000048</v>
      </c>
      <c r="R30" s="68"/>
    </row>
    <row r="31" spans="1:20" ht="12" customHeight="1">
      <c r="A31" s="50" t="s">
        <v>180</v>
      </c>
      <c r="B31" s="48" t="s">
        <v>141</v>
      </c>
      <c r="C31" s="51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9"/>
      <c r="P31" s="49"/>
    </row>
    <row r="32" spans="1:20">
      <c r="A32" s="50" t="s">
        <v>179</v>
      </c>
      <c r="B32" s="60" t="s">
        <v>142</v>
      </c>
      <c r="C32" s="47">
        <v>1.5</v>
      </c>
      <c r="D32" s="58">
        <v>6308</v>
      </c>
      <c r="E32" s="58">
        <v>6308</v>
      </c>
      <c r="F32" s="58">
        <v>6308</v>
      </c>
      <c r="G32" s="58">
        <v>6308</v>
      </c>
      <c r="H32" s="58">
        <v>6308</v>
      </c>
      <c r="I32" s="58">
        <v>6308</v>
      </c>
      <c r="J32" s="58">
        <v>6308</v>
      </c>
      <c r="K32" s="58">
        <v>6308</v>
      </c>
      <c r="L32" s="58">
        <v>6308</v>
      </c>
      <c r="M32" s="58">
        <v>6308</v>
      </c>
      <c r="N32" s="58">
        <v>6308</v>
      </c>
      <c r="O32" s="58">
        <v>6308</v>
      </c>
      <c r="P32" s="49">
        <f t="shared" ref="P32:P37" si="5">SUM(D32:O32)</f>
        <v>75696</v>
      </c>
    </row>
    <row r="33" spans="1:18">
      <c r="A33" s="50" t="s">
        <v>181</v>
      </c>
      <c r="B33" s="60" t="s">
        <v>143</v>
      </c>
      <c r="C33" s="47">
        <v>1.6</v>
      </c>
      <c r="D33" s="58">
        <v>6733</v>
      </c>
      <c r="E33" s="58">
        <v>6733</v>
      </c>
      <c r="F33" s="58">
        <v>6733</v>
      </c>
      <c r="G33" s="58">
        <v>6733</v>
      </c>
      <c r="H33" s="58">
        <v>6733</v>
      </c>
      <c r="I33" s="58">
        <v>6733</v>
      </c>
      <c r="J33" s="58">
        <v>6733</v>
      </c>
      <c r="K33" s="58">
        <v>6733</v>
      </c>
      <c r="L33" s="58">
        <v>6733</v>
      </c>
      <c r="M33" s="58">
        <v>5050</v>
      </c>
      <c r="N33" s="58">
        <v>5050</v>
      </c>
      <c r="O33" s="58">
        <v>5050</v>
      </c>
      <c r="P33" s="49">
        <f t="shared" si="5"/>
        <v>75747</v>
      </c>
      <c r="Q33" s="66" t="s">
        <v>195</v>
      </c>
    </row>
    <row r="34" spans="1:18">
      <c r="A34" s="50" t="s">
        <v>182</v>
      </c>
      <c r="B34" s="60" t="s">
        <v>158</v>
      </c>
      <c r="C34" s="47">
        <v>0.9</v>
      </c>
      <c r="D34" s="58">
        <v>3788</v>
      </c>
      <c r="E34" s="58">
        <v>3788</v>
      </c>
      <c r="F34" s="58">
        <v>3788</v>
      </c>
      <c r="G34" s="58">
        <v>3788</v>
      </c>
      <c r="H34" s="58">
        <v>3788</v>
      </c>
      <c r="I34" s="58">
        <v>3788</v>
      </c>
      <c r="J34" s="58">
        <v>3788</v>
      </c>
      <c r="K34" s="58">
        <v>3788</v>
      </c>
      <c r="L34" s="58">
        <v>3788</v>
      </c>
      <c r="M34" s="58">
        <v>3788</v>
      </c>
      <c r="N34" s="58">
        <v>3788</v>
      </c>
      <c r="O34" s="58">
        <v>3788</v>
      </c>
      <c r="P34" s="49">
        <f t="shared" si="5"/>
        <v>45456</v>
      </c>
    </row>
    <row r="35" spans="1:18">
      <c r="A35" s="50" t="s">
        <v>183</v>
      </c>
      <c r="B35" s="60" t="s">
        <v>159</v>
      </c>
      <c r="C35" s="47">
        <v>0.9</v>
      </c>
      <c r="D35" s="58">
        <f>4208.48*0.45</f>
        <v>1893.8159999999998</v>
      </c>
      <c r="E35" s="58">
        <f t="shared" ref="E35:O35" si="6">4208.48*0.45</f>
        <v>1893.8159999999998</v>
      </c>
      <c r="F35" s="58">
        <f t="shared" si="6"/>
        <v>1893.8159999999998</v>
      </c>
      <c r="G35" s="58">
        <f t="shared" si="6"/>
        <v>1893.8159999999998</v>
      </c>
      <c r="H35" s="58">
        <f t="shared" si="6"/>
        <v>1893.8159999999998</v>
      </c>
      <c r="I35" s="58">
        <f t="shared" si="6"/>
        <v>1893.8159999999998</v>
      </c>
      <c r="J35" s="58">
        <f t="shared" si="6"/>
        <v>1893.8159999999998</v>
      </c>
      <c r="K35" s="58">
        <f t="shared" si="6"/>
        <v>1893.8159999999998</v>
      </c>
      <c r="L35" s="58">
        <f t="shared" si="6"/>
        <v>1893.8159999999998</v>
      </c>
      <c r="M35" s="58">
        <f t="shared" si="6"/>
        <v>1893.8159999999998</v>
      </c>
      <c r="N35" s="58">
        <f t="shared" si="6"/>
        <v>1893.8159999999998</v>
      </c>
      <c r="O35" s="58">
        <f t="shared" si="6"/>
        <v>1893.8159999999998</v>
      </c>
      <c r="P35" s="49">
        <f t="shared" si="5"/>
        <v>22725.79199999999</v>
      </c>
    </row>
    <row r="36" spans="1:18">
      <c r="A36" s="50" t="s">
        <v>184</v>
      </c>
      <c r="B36" s="60" t="s">
        <v>151</v>
      </c>
      <c r="C36" s="47">
        <v>0.37</v>
      </c>
      <c r="D36" s="58">
        <v>1550</v>
      </c>
      <c r="E36" s="58">
        <v>1550</v>
      </c>
      <c r="F36" s="58">
        <v>1550</v>
      </c>
      <c r="G36" s="58">
        <v>1550</v>
      </c>
      <c r="H36" s="58">
        <v>1550</v>
      </c>
      <c r="I36" s="58">
        <v>1550</v>
      </c>
      <c r="J36" s="58">
        <v>1550</v>
      </c>
      <c r="K36" s="58">
        <v>1550</v>
      </c>
      <c r="L36" s="58">
        <v>1550</v>
      </c>
      <c r="M36" s="58">
        <v>1550</v>
      </c>
      <c r="N36" s="58">
        <v>1550</v>
      </c>
      <c r="O36" s="58">
        <v>1550</v>
      </c>
      <c r="P36" s="49">
        <f t="shared" si="5"/>
        <v>18600</v>
      </c>
    </row>
    <row r="37" spans="1:18">
      <c r="A37" s="50" t="s">
        <v>185</v>
      </c>
      <c r="B37" s="60" t="s">
        <v>152</v>
      </c>
      <c r="C37" s="47">
        <v>0.1</v>
      </c>
      <c r="D37" s="58">
        <v>0</v>
      </c>
      <c r="E37" s="58">
        <v>261</v>
      </c>
      <c r="F37" s="58"/>
      <c r="G37" s="58"/>
      <c r="H37" s="58"/>
      <c r="I37" s="58"/>
      <c r="J37" s="58">
        <v>365.4</v>
      </c>
      <c r="K37" s="58">
        <v>291</v>
      </c>
      <c r="L37" s="58"/>
      <c r="M37" s="58"/>
      <c r="N37" s="62"/>
      <c r="O37" s="62">
        <v>365.4</v>
      </c>
      <c r="P37" s="49">
        <f t="shared" si="5"/>
        <v>1282.8</v>
      </c>
    </row>
    <row r="38" spans="1:18">
      <c r="A38" s="92" t="s">
        <v>186</v>
      </c>
      <c r="B38" s="93" t="s">
        <v>171</v>
      </c>
      <c r="C38" s="94">
        <v>4.63</v>
      </c>
      <c r="D38" s="95">
        <v>14948.7</v>
      </c>
      <c r="E38" s="95">
        <v>22942</v>
      </c>
      <c r="F38" s="95">
        <v>3866.6</v>
      </c>
      <c r="G38" s="95">
        <v>1708.1</v>
      </c>
      <c r="H38" s="95">
        <v>3438</v>
      </c>
      <c r="I38" s="95"/>
      <c r="J38" s="95">
        <v>10867.13</v>
      </c>
      <c r="K38" s="95">
        <v>17700</v>
      </c>
      <c r="L38" s="95">
        <v>128.5</v>
      </c>
      <c r="M38" s="95">
        <v>76132.5</v>
      </c>
      <c r="N38" s="95">
        <v>2044.5</v>
      </c>
      <c r="O38" s="95"/>
      <c r="P38" s="65">
        <f>SUM(D38:O38)</f>
        <v>153776.03</v>
      </c>
      <c r="Q38" s="70" t="s">
        <v>190</v>
      </c>
      <c r="R38" s="70"/>
    </row>
    <row r="39" spans="1:18">
      <c r="A39" s="63"/>
      <c r="B39" s="61" t="s">
        <v>168</v>
      </c>
      <c r="C39" s="79">
        <v>10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65">
        <f>SUM(P32:P38)</f>
        <v>393283.62199999997</v>
      </c>
    </row>
    <row r="40" spans="1:18">
      <c r="A40" s="63"/>
      <c r="B40" s="85" t="s">
        <v>196</v>
      </c>
      <c r="C40" s="79"/>
      <c r="D40" s="58"/>
      <c r="E40" s="58"/>
      <c r="F40" s="58"/>
      <c r="G40" s="58"/>
      <c r="H40" s="58"/>
      <c r="I40" s="58"/>
      <c r="J40" s="58">
        <v>6294.87</v>
      </c>
      <c r="K40" s="58"/>
      <c r="L40" s="58"/>
      <c r="M40" s="58"/>
      <c r="N40" s="58"/>
      <c r="O40" s="58"/>
      <c r="P40" s="65">
        <f>SUM(J40:O40)</f>
        <v>6294.87</v>
      </c>
    </row>
    <row r="41" spans="1:18">
      <c r="A41" s="50" t="s">
        <v>187</v>
      </c>
      <c r="B41" s="51" t="s">
        <v>148</v>
      </c>
      <c r="C41" s="80">
        <v>1.5</v>
      </c>
      <c r="D41" s="90">
        <v>6416</v>
      </c>
      <c r="E41" s="90">
        <v>6751</v>
      </c>
      <c r="F41" s="90">
        <v>6751</v>
      </c>
      <c r="G41" s="90">
        <v>6751</v>
      </c>
      <c r="H41" s="90">
        <v>6751</v>
      </c>
      <c r="I41" s="90">
        <v>6751</v>
      </c>
      <c r="J41" s="90">
        <v>6751</v>
      </c>
      <c r="K41" s="90">
        <v>6751</v>
      </c>
      <c r="L41" s="90">
        <v>6751</v>
      </c>
      <c r="M41" s="90">
        <v>6751</v>
      </c>
      <c r="N41" s="90">
        <v>6751</v>
      </c>
      <c r="O41" s="90">
        <v>6751</v>
      </c>
      <c r="P41" s="49">
        <f>SUM(D41:O41)</f>
        <v>80677</v>
      </c>
    </row>
    <row r="42" spans="1:18">
      <c r="A42" s="63"/>
      <c r="B42" s="60" t="s">
        <v>169</v>
      </c>
      <c r="C42" s="83">
        <f>SUM(C39:C41)</f>
        <v>11.5</v>
      </c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54">
        <f>SUM(P39:P41)</f>
        <v>480255.49199999997</v>
      </c>
    </row>
    <row r="43" spans="1:18">
      <c r="A43" s="63"/>
      <c r="B43" s="81" t="s">
        <v>170</v>
      </c>
      <c r="C43" s="60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84">
        <f>P42+P30</f>
        <v>1000354.242</v>
      </c>
    </row>
    <row r="44" spans="1:18">
      <c r="A44" s="63"/>
      <c r="B44" s="60" t="s">
        <v>139</v>
      </c>
      <c r="C44" s="60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65">
        <f>P18-C6-P43</f>
        <v>-300727.26200000045</v>
      </c>
    </row>
    <row r="45" spans="1:18">
      <c r="A45" s="71"/>
      <c r="N45" s="66" t="s">
        <v>62</v>
      </c>
      <c r="P45" s="68"/>
    </row>
    <row r="46" spans="1:18">
      <c r="B46" s="77" t="s">
        <v>163</v>
      </c>
      <c r="C46" s="78"/>
      <c r="D46" s="78"/>
      <c r="E46" s="78"/>
      <c r="F46" s="78"/>
      <c r="G46" s="78"/>
      <c r="I46" s="66" t="s">
        <v>164</v>
      </c>
    </row>
    <row r="48" spans="1:18">
      <c r="B48" s="77" t="s">
        <v>165</v>
      </c>
      <c r="C48" s="78"/>
      <c r="D48" s="78"/>
      <c r="E48" s="78"/>
      <c r="F48" s="78"/>
      <c r="G48" s="78"/>
    </row>
    <row r="50" spans="2:2">
      <c r="B50" s="66" t="s">
        <v>191</v>
      </c>
    </row>
    <row r="51" spans="2:2">
      <c r="B51" s="66" t="s">
        <v>192</v>
      </c>
    </row>
    <row r="52" spans="2:2">
      <c r="B52" s="66" t="s">
        <v>193</v>
      </c>
    </row>
    <row r="53" spans="2:2">
      <c r="B53" s="66" t="s">
        <v>194</v>
      </c>
    </row>
  </sheetData>
  <mergeCells count="3">
    <mergeCell ref="A1:P1"/>
    <mergeCell ref="A2:P2"/>
    <mergeCell ref="A3:P3"/>
  </mergeCells>
  <phoneticPr fontId="0" type="noConversion"/>
  <pageMargins left="0.23622047244094491" right="0.23622047244094491" top="0.31496062992125984" bottom="0.55118110236220474" header="0.23622047244094491" footer="0.39370078740157483"/>
  <pageSetup paperSize="9" scale="87" orientation="landscape" horizontalDpi="300" verticalDpi="300" r:id="rId1"/>
  <headerFooter alignWithMargins="0"/>
  <colBreaks count="1" manualBreakCount="1">
    <brk id="16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Лист1!#REF!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Лист1!#REF!</f>
        <v>#REF!</v>
      </c>
    </row>
    <row r="9" spans="1:5">
      <c r="A9" s="6"/>
      <c r="B9" s="3" t="s">
        <v>40</v>
      </c>
      <c r="C9" s="15" t="e">
        <f>Лист1!#REF!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Лист1!#REF!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Лист1!#REF!</f>
        <v>#REF!</v>
      </c>
    </row>
    <row r="14" spans="1:5">
      <c r="A14" s="6"/>
      <c r="B14" s="3" t="s">
        <v>39</v>
      </c>
      <c r="C14" s="15" t="e">
        <f>Лист1!#REF!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Лист1!#REF!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Лист1!#REF!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Лист1!#REF!</f>
        <v>#REF!</v>
      </c>
    </row>
    <row r="21" spans="1:3">
      <c r="A21" s="6"/>
      <c r="B21" s="23" t="s">
        <v>61</v>
      </c>
      <c r="C21" s="26" t="e">
        <f>Лист1!#REF!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Лист1!#REF!</f>
        <v>#REF!</v>
      </c>
    </row>
    <row r="27" spans="1:3">
      <c r="A27" s="6"/>
      <c r="B27" s="3" t="s">
        <v>23</v>
      </c>
      <c r="C27" s="16" t="e">
        <f>Лист1!#REF!</f>
        <v>#REF!</v>
      </c>
    </row>
    <row r="28" spans="1:3">
      <c r="A28" s="6"/>
      <c r="B28" s="3" t="s">
        <v>50</v>
      </c>
      <c r="C28" s="16" t="e">
        <f>Лист1!#REF!</f>
        <v>#REF!</v>
      </c>
    </row>
    <row r="29" spans="1:3">
      <c r="A29" s="6"/>
      <c r="B29" s="3" t="s">
        <v>49</v>
      </c>
      <c r="C29" s="16" t="e">
        <f>Лист1!#REF!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Лист1!#REF!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Лист1!#REF!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Лист1!#REF!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Лист1!#REF!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Лист1!#REF!</f>
        <v>#REF!</v>
      </c>
    </row>
    <row r="43" spans="1:3">
      <c r="A43" s="7"/>
      <c r="B43" s="1" t="s">
        <v>38</v>
      </c>
      <c r="C43" s="15" t="e">
        <f>Лист1!#REF!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Лист1!#REF!</f>
        <v>#REF!</v>
      </c>
    </row>
    <row r="46" spans="1:3">
      <c r="A46" s="7"/>
      <c r="B46" s="1" t="s">
        <v>4</v>
      </c>
      <c r="C46" s="15" t="e">
        <f>Лист1!#REF!</f>
        <v>#REF!</v>
      </c>
    </row>
    <row r="47" spans="1:3">
      <c r="A47" s="7"/>
      <c r="B47" s="1" t="s">
        <v>54</v>
      </c>
      <c r="C47" s="15" t="e">
        <f>Лист1!#REF!</f>
        <v>#REF!</v>
      </c>
    </row>
    <row r="48" spans="1:3">
      <c r="A48" s="7"/>
      <c r="B48" s="1" t="s">
        <v>55</v>
      </c>
      <c r="C48" s="15" t="e">
        <f>Лист1!#REF!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Лист1!#REF!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38" t="s">
        <v>22</v>
      </c>
      <c r="C145" s="39">
        <v>164630</v>
      </c>
    </row>
    <row r="146" spans="1:3">
      <c r="A146" s="6"/>
      <c r="B146" s="42" t="s">
        <v>23</v>
      </c>
      <c r="C146" s="43">
        <v>40033</v>
      </c>
    </row>
    <row r="147" spans="1:3">
      <c r="A147" s="6"/>
      <c r="B147" s="42" t="s">
        <v>50</v>
      </c>
      <c r="C147" s="43">
        <v>4602</v>
      </c>
    </row>
    <row r="148" spans="1:3">
      <c r="A148" s="6"/>
      <c r="B148" s="42" t="s">
        <v>49</v>
      </c>
      <c r="C148" s="43">
        <v>2286</v>
      </c>
    </row>
    <row r="149" spans="1:3">
      <c r="A149" s="6"/>
      <c r="B149" s="42" t="s">
        <v>24</v>
      </c>
      <c r="C149" s="43">
        <v>0</v>
      </c>
    </row>
    <row r="150" spans="1:3">
      <c r="A150" s="6"/>
      <c r="B150" s="42" t="s">
        <v>105</v>
      </c>
      <c r="C150" s="43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1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1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Q49"/>
  <sheetViews>
    <sheetView workbookViewId="0">
      <selection activeCell="E38" sqref="E38:L38"/>
    </sheetView>
  </sheetViews>
  <sheetFormatPr defaultRowHeight="12.75"/>
  <cols>
    <col min="1" max="1" width="3.7109375" customWidth="1"/>
    <col min="2" max="2" width="5" customWidth="1"/>
    <col min="3" max="3" width="23.5703125" customWidth="1"/>
    <col min="4" max="4" width="11.28515625" customWidth="1"/>
  </cols>
  <sheetData>
    <row r="2" spans="2:17">
      <c r="B2" s="100" t="s">
        <v>0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</row>
    <row r="3" spans="2:17">
      <c r="B3" s="100" t="s">
        <v>17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2:17">
      <c r="B4" s="100" t="s">
        <v>160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2:17">
      <c r="B5" s="73"/>
      <c r="C5" s="73"/>
      <c r="D5" s="73"/>
      <c r="E5" s="73"/>
      <c r="F5" s="73"/>
      <c r="G5" s="73"/>
      <c r="H5" s="73"/>
      <c r="I5" s="73"/>
      <c r="J5" s="73"/>
      <c r="K5" s="73"/>
      <c r="L5" s="72" t="s">
        <v>161</v>
      </c>
      <c r="M5" s="73"/>
      <c r="N5" s="73"/>
      <c r="O5" s="73"/>
      <c r="P5" s="73"/>
      <c r="Q5" s="73"/>
    </row>
    <row r="6" spans="2:17">
      <c r="B6" s="45"/>
      <c r="C6" s="45" t="s">
        <v>5</v>
      </c>
      <c r="D6" s="46" t="s">
        <v>150</v>
      </c>
      <c r="E6" s="47" t="s">
        <v>108</v>
      </c>
      <c r="F6" s="47" t="s">
        <v>31</v>
      </c>
      <c r="G6" s="47" t="s">
        <v>32</v>
      </c>
      <c r="H6" s="47" t="s">
        <v>33</v>
      </c>
      <c r="I6" s="47" t="s">
        <v>34</v>
      </c>
      <c r="J6" s="47" t="s">
        <v>35</v>
      </c>
      <c r="K6" s="47" t="s">
        <v>36</v>
      </c>
      <c r="L6" s="47" t="s">
        <v>37</v>
      </c>
      <c r="M6" s="47" t="s">
        <v>26</v>
      </c>
      <c r="N6" s="47" t="s">
        <v>27</v>
      </c>
      <c r="O6" s="47" t="s">
        <v>28</v>
      </c>
      <c r="P6" s="47" t="s">
        <v>107</v>
      </c>
      <c r="Q6" s="45" t="s">
        <v>25</v>
      </c>
    </row>
    <row r="7" spans="2:17">
      <c r="B7" s="45" t="s">
        <v>1</v>
      </c>
      <c r="C7" s="48" t="s">
        <v>59</v>
      </c>
      <c r="D7" s="48">
        <v>213732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9"/>
    </row>
    <row r="8" spans="2:17">
      <c r="B8" s="50" t="s">
        <v>43</v>
      </c>
      <c r="C8" s="51" t="s">
        <v>7</v>
      </c>
      <c r="D8" s="51"/>
      <c r="E8" s="52">
        <v>28046.66</v>
      </c>
      <c r="F8" s="52">
        <v>28557.79</v>
      </c>
      <c r="G8" s="53">
        <v>28557.79</v>
      </c>
      <c r="H8" s="53">
        <v>28557.79</v>
      </c>
      <c r="I8" s="53">
        <v>28557.81</v>
      </c>
      <c r="J8" s="53">
        <v>28557.79</v>
      </c>
      <c r="K8" s="53">
        <v>28557.79</v>
      </c>
      <c r="L8" s="53">
        <v>2866.79</v>
      </c>
      <c r="M8" s="53">
        <v>15991.45</v>
      </c>
      <c r="N8" s="53">
        <v>42084.800000000003</v>
      </c>
      <c r="O8" s="53"/>
      <c r="P8" s="53"/>
      <c r="Q8" s="54">
        <f>SUM(E8:P8)</f>
        <v>260336.46000000002</v>
      </c>
    </row>
    <row r="9" spans="2:17">
      <c r="B9" s="50" t="s">
        <v>128</v>
      </c>
      <c r="C9" s="51" t="s">
        <v>138</v>
      </c>
      <c r="D9" s="51"/>
      <c r="E9" s="52">
        <f>51006.5-879.56</f>
        <v>50126.94</v>
      </c>
      <c r="F9" s="52">
        <f>51006.5-879.56</f>
        <v>50126.94</v>
      </c>
      <c r="G9" s="53">
        <f>64599.37-577.63-668.37</f>
        <v>63353.37</v>
      </c>
      <c r="H9" s="53">
        <v>74259.62</v>
      </c>
      <c r="I9" s="53">
        <v>79063.97</v>
      </c>
      <c r="J9" s="53">
        <v>64599.37</v>
      </c>
      <c r="K9" s="53">
        <v>0</v>
      </c>
      <c r="L9" s="53">
        <v>0</v>
      </c>
      <c r="M9" s="53">
        <v>-41217.85</v>
      </c>
      <c r="N9" s="53">
        <v>32706.240000000002</v>
      </c>
      <c r="O9" s="53"/>
      <c r="P9" s="53"/>
      <c r="Q9" s="54">
        <f t="shared" ref="Q9:Q18" si="0">SUM(E9:P9)</f>
        <v>373018.6</v>
      </c>
    </row>
    <row r="10" spans="2:17">
      <c r="B10" s="50" t="s">
        <v>45</v>
      </c>
      <c r="C10" s="51" t="s">
        <v>40</v>
      </c>
      <c r="D10" s="51"/>
      <c r="E10" s="52">
        <f>8748.54-18887.13</f>
        <v>-10138.59</v>
      </c>
      <c r="F10" s="52">
        <v>10211.209999999999</v>
      </c>
      <c r="G10" s="53">
        <v>9185.3799999999992</v>
      </c>
      <c r="H10" s="53">
        <v>10376.92</v>
      </c>
      <c r="I10" s="53">
        <v>5212.57</v>
      </c>
      <c r="J10" s="53">
        <v>0</v>
      </c>
      <c r="K10" s="53">
        <v>250.92</v>
      </c>
      <c r="L10" s="53">
        <v>0</v>
      </c>
      <c r="M10" s="53">
        <v>0</v>
      </c>
      <c r="N10" s="53">
        <v>10010.879999999999</v>
      </c>
      <c r="O10" s="53"/>
      <c r="P10" s="53"/>
      <c r="Q10" s="54">
        <f t="shared" si="0"/>
        <v>35109.289999999994</v>
      </c>
    </row>
    <row r="11" spans="2:17">
      <c r="B11" s="50" t="s">
        <v>129</v>
      </c>
      <c r="C11" s="51" t="s">
        <v>42</v>
      </c>
      <c r="D11" s="51"/>
      <c r="E11" s="52">
        <v>26605.45</v>
      </c>
      <c r="F11" s="52">
        <v>24576.13</v>
      </c>
      <c r="G11" s="53">
        <v>21740.26</v>
      </c>
      <c r="H11" s="53">
        <v>16894.03</v>
      </c>
      <c r="I11" s="53">
        <v>13847.06</v>
      </c>
      <c r="J11" s="53">
        <v>19524.39</v>
      </c>
      <c r="K11" s="53">
        <v>27255.55</v>
      </c>
      <c r="L11" s="53">
        <v>11198.31</v>
      </c>
      <c r="M11" s="53">
        <v>21738.65</v>
      </c>
      <c r="N11" s="53">
        <v>21804.1</v>
      </c>
      <c r="O11" s="53"/>
      <c r="P11" s="53"/>
      <c r="Q11" s="54">
        <f t="shared" si="0"/>
        <v>205183.93</v>
      </c>
    </row>
    <row r="12" spans="2:17">
      <c r="B12" s="50" t="s">
        <v>130</v>
      </c>
      <c r="C12" s="51" t="s">
        <v>8</v>
      </c>
      <c r="D12" s="51"/>
      <c r="E12" s="52">
        <f>2649.94-5517.44</f>
        <v>-2867.4999999999995</v>
      </c>
      <c r="F12" s="52">
        <v>2935.07</v>
      </c>
      <c r="G12" s="53">
        <v>2634.14</v>
      </c>
      <c r="H12" s="53">
        <v>2880.62</v>
      </c>
      <c r="I12" s="53">
        <v>2433.4299999999998</v>
      </c>
      <c r="J12" s="53">
        <v>2742.35</v>
      </c>
      <c r="K12" s="53">
        <v>3296.49</v>
      </c>
      <c r="L12" s="53">
        <v>2991.54</v>
      </c>
      <c r="M12" s="53">
        <v>3745.89</v>
      </c>
      <c r="N12" s="53">
        <v>3022.92</v>
      </c>
      <c r="O12" s="53"/>
      <c r="P12" s="53"/>
      <c r="Q12" s="54">
        <f t="shared" si="0"/>
        <v>23814.949999999997</v>
      </c>
    </row>
    <row r="13" spans="2:17">
      <c r="B13" s="50" t="s">
        <v>131</v>
      </c>
      <c r="C13" s="51" t="s">
        <v>126</v>
      </c>
      <c r="D13" s="51"/>
      <c r="E13" s="52">
        <f>497.83+838.81-1749.24-1118.46</f>
        <v>-1531.0600000000002</v>
      </c>
      <c r="F13" s="52">
        <f>581.46+929.14</f>
        <v>1510.6</v>
      </c>
      <c r="G13" s="53">
        <f>522.44+833.8</f>
        <v>1356.24</v>
      </c>
      <c r="H13" s="53">
        <v>1502.88</v>
      </c>
      <c r="I13" s="53">
        <v>1067.3</v>
      </c>
      <c r="J13" s="53">
        <v>868.08</v>
      </c>
      <c r="K13" s="53">
        <v>925.6</v>
      </c>
      <c r="L13" s="53">
        <v>905.28</v>
      </c>
      <c r="M13" s="53">
        <v>1184.68</v>
      </c>
      <c r="N13" s="53">
        <v>1507.13</v>
      </c>
      <c r="O13" s="53"/>
      <c r="P13" s="53"/>
      <c r="Q13" s="54">
        <f t="shared" si="0"/>
        <v>9296.73</v>
      </c>
    </row>
    <row r="14" spans="2:17">
      <c r="B14" s="50" t="s">
        <v>132</v>
      </c>
      <c r="C14" s="51" t="s">
        <v>9</v>
      </c>
      <c r="D14" s="51"/>
      <c r="E14" s="52">
        <f>654.61+1103.02-2167.16-1378.73</f>
        <v>-1788.2599999999998</v>
      </c>
      <c r="F14" s="52">
        <f>764.62+121.79</f>
        <v>886.41</v>
      </c>
      <c r="G14" s="53">
        <f>687.01+1096.42</f>
        <v>1783.43</v>
      </c>
      <c r="H14" s="53">
        <v>1976.26</v>
      </c>
      <c r="I14" s="53">
        <v>1403.48</v>
      </c>
      <c r="J14" s="53">
        <v>1141.5</v>
      </c>
      <c r="K14" s="53">
        <v>1218.95</v>
      </c>
      <c r="L14" s="53">
        <v>1192.19</v>
      </c>
      <c r="M14" s="53">
        <v>1819</v>
      </c>
      <c r="N14" s="53">
        <v>1759.41</v>
      </c>
      <c r="O14" s="53"/>
      <c r="P14" s="53"/>
      <c r="Q14" s="54">
        <f t="shared" si="0"/>
        <v>11392.369999999999</v>
      </c>
    </row>
    <row r="15" spans="2:17">
      <c r="B15" s="50" t="s">
        <v>133</v>
      </c>
      <c r="C15" s="51" t="s">
        <v>10</v>
      </c>
      <c r="D15" s="51"/>
      <c r="E15" s="52">
        <v>2364.3200000000002</v>
      </c>
      <c r="F15" s="52">
        <f>2286.98-50.15</f>
        <v>2236.83</v>
      </c>
      <c r="G15" s="53">
        <v>2286.98</v>
      </c>
      <c r="H15" s="53">
        <v>2286.98</v>
      </c>
      <c r="I15" s="53">
        <v>2222.06</v>
      </c>
      <c r="J15" s="53">
        <v>2259.7800000000002</v>
      </c>
      <c r="K15" s="55">
        <v>2259.7800000000002</v>
      </c>
      <c r="L15" s="53">
        <v>2259.7800000000002</v>
      </c>
      <c r="M15" s="53">
        <v>2175.66</v>
      </c>
      <c r="N15" s="53">
        <v>2067.27</v>
      </c>
      <c r="O15" s="53"/>
      <c r="P15" s="53"/>
      <c r="Q15" s="54">
        <f t="shared" si="0"/>
        <v>22419.439999999999</v>
      </c>
    </row>
    <row r="16" spans="2:17">
      <c r="B16" s="50" t="s">
        <v>134</v>
      </c>
      <c r="C16" s="51" t="s">
        <v>127</v>
      </c>
      <c r="D16" s="51"/>
      <c r="E16" s="52">
        <v>6327.43</v>
      </c>
      <c r="F16" s="52">
        <v>6327.43</v>
      </c>
      <c r="G16" s="53">
        <v>6327.43</v>
      </c>
      <c r="H16" s="53">
        <v>6327.43</v>
      </c>
      <c r="I16" s="53">
        <v>6327.44</v>
      </c>
      <c r="J16" s="53">
        <v>6327.43</v>
      </c>
      <c r="K16" s="53">
        <v>6327.43</v>
      </c>
      <c r="L16" s="53">
        <v>6327.43</v>
      </c>
      <c r="M16" s="53">
        <v>6312.73</v>
      </c>
      <c r="N16" s="53">
        <v>6312.75</v>
      </c>
      <c r="O16" s="53"/>
      <c r="P16" s="53"/>
      <c r="Q16" s="54">
        <f t="shared" si="0"/>
        <v>63244.929999999993</v>
      </c>
    </row>
    <row r="17" spans="2:17">
      <c r="B17" s="50" t="s">
        <v>154</v>
      </c>
      <c r="C17" s="51" t="s">
        <v>155</v>
      </c>
      <c r="D17" s="51"/>
      <c r="E17" s="52">
        <v>0</v>
      </c>
      <c r="F17" s="52">
        <v>0</v>
      </c>
      <c r="G17" s="52">
        <v>0</v>
      </c>
      <c r="H17" s="52">
        <v>0</v>
      </c>
      <c r="I17" s="53">
        <v>4947.13</v>
      </c>
      <c r="J17" s="53">
        <v>0</v>
      </c>
      <c r="K17" s="53">
        <v>0</v>
      </c>
      <c r="L17" s="53">
        <v>0</v>
      </c>
      <c r="M17" s="53">
        <v>0</v>
      </c>
      <c r="N17" s="53">
        <v>-1322.81</v>
      </c>
      <c r="O17" s="53"/>
      <c r="P17" s="53"/>
      <c r="Q17" s="54">
        <f t="shared" si="0"/>
        <v>3624.32</v>
      </c>
    </row>
    <row r="18" spans="2:17">
      <c r="B18" s="50" t="s">
        <v>156</v>
      </c>
      <c r="C18" s="51" t="s">
        <v>157</v>
      </c>
      <c r="D18" s="51"/>
      <c r="E18" s="52">
        <v>0</v>
      </c>
      <c r="F18" s="52">
        <v>0</v>
      </c>
      <c r="G18" s="52">
        <v>0</v>
      </c>
      <c r="H18" s="52">
        <v>0</v>
      </c>
      <c r="I18" s="53">
        <v>-225.14</v>
      </c>
      <c r="J18" s="53">
        <v>0</v>
      </c>
      <c r="K18" s="53">
        <v>716.48</v>
      </c>
      <c r="L18" s="53">
        <v>1262.3800000000001</v>
      </c>
      <c r="M18" s="53">
        <v>250.71</v>
      </c>
      <c r="N18" s="53">
        <v>90.58</v>
      </c>
      <c r="O18" s="53"/>
      <c r="P18" s="53"/>
      <c r="Q18" s="54">
        <f t="shared" si="0"/>
        <v>2095.0100000000002</v>
      </c>
    </row>
    <row r="19" spans="2:17">
      <c r="B19" s="50"/>
      <c r="C19" s="48" t="s">
        <v>60</v>
      </c>
      <c r="D19" s="51"/>
      <c r="E19" s="52">
        <f>SUM(E8:E18)</f>
        <v>97145.390000000014</v>
      </c>
      <c r="F19" s="52">
        <f t="shared" ref="F19:J19" si="1">SUM(F8:F18)</f>
        <v>127368.41000000003</v>
      </c>
      <c r="G19" s="52">
        <f t="shared" si="1"/>
        <v>137225.01999999999</v>
      </c>
      <c r="H19" s="52">
        <f t="shared" si="1"/>
        <v>145062.53000000003</v>
      </c>
      <c r="I19" s="52">
        <f t="shared" si="1"/>
        <v>144857.10999999999</v>
      </c>
      <c r="J19" s="52">
        <f t="shared" si="1"/>
        <v>126020.69</v>
      </c>
      <c r="K19" s="52">
        <f>SUM(K8:K18)</f>
        <v>70808.989999999976</v>
      </c>
      <c r="L19" s="52">
        <f>SUM(L8:L18)</f>
        <v>29003.699999999997</v>
      </c>
      <c r="M19" s="52">
        <f>SUM(M8:M18)</f>
        <v>12000.920000000002</v>
      </c>
      <c r="N19" s="52">
        <f>SUM(N8:N18)</f>
        <v>120043.27000000003</v>
      </c>
      <c r="O19" s="52">
        <f t="shared" ref="O19:P19" si="2">SUM(O8:O16)</f>
        <v>0</v>
      </c>
      <c r="P19" s="52">
        <f t="shared" si="2"/>
        <v>0</v>
      </c>
      <c r="Q19" s="52">
        <f>SUM(E19:P19)</f>
        <v>1009536.0300000001</v>
      </c>
    </row>
    <row r="20" spans="2:17">
      <c r="B20" s="50"/>
      <c r="C20" s="48" t="s">
        <v>61</v>
      </c>
      <c r="D20" s="51"/>
      <c r="E20" s="52">
        <v>87817.3</v>
      </c>
      <c r="F20" s="52">
        <v>90045.759999999995</v>
      </c>
      <c r="G20" s="58">
        <v>152595.64000000001</v>
      </c>
      <c r="H20" s="58">
        <v>119291.66</v>
      </c>
      <c r="I20" s="58">
        <v>103690.9</v>
      </c>
      <c r="J20" s="58">
        <v>68958.2</v>
      </c>
      <c r="K20" s="58">
        <v>158587.68</v>
      </c>
      <c r="L20" s="58">
        <v>92090.6</v>
      </c>
      <c r="M20" s="58">
        <v>91583.95</v>
      </c>
      <c r="N20" s="58">
        <v>71260.58</v>
      </c>
      <c r="O20" s="58"/>
      <c r="P20" s="58"/>
      <c r="Q20" s="49">
        <f>SUM(E20:P20)</f>
        <v>1035922.2699999998</v>
      </c>
    </row>
    <row r="21" spans="2:17">
      <c r="B21" s="45"/>
      <c r="C21" s="51"/>
      <c r="D21" s="51"/>
      <c r="E21" s="52">
        <f>E19-E20</f>
        <v>9328.0900000000111</v>
      </c>
      <c r="F21" s="52">
        <f t="shared" ref="F21:P21" si="3">F19-F20</f>
        <v>37322.650000000038</v>
      </c>
      <c r="G21" s="52">
        <f t="shared" si="3"/>
        <v>-15370.620000000024</v>
      </c>
      <c r="H21" s="52">
        <f t="shared" si="3"/>
        <v>25770.870000000024</v>
      </c>
      <c r="I21" s="52">
        <f t="shared" si="3"/>
        <v>41166.209999999992</v>
      </c>
      <c r="J21" s="52">
        <f t="shared" si="3"/>
        <v>57062.490000000005</v>
      </c>
      <c r="K21" s="52">
        <f t="shared" si="3"/>
        <v>-87778.690000000017</v>
      </c>
      <c r="L21" s="52">
        <f t="shared" si="3"/>
        <v>-63086.900000000009</v>
      </c>
      <c r="M21" s="52">
        <f t="shared" si="3"/>
        <v>-79583.03</v>
      </c>
      <c r="N21" s="52">
        <f t="shared" si="3"/>
        <v>48782.690000000031</v>
      </c>
      <c r="O21" s="52">
        <f t="shared" si="3"/>
        <v>0</v>
      </c>
      <c r="P21" s="52">
        <f t="shared" si="3"/>
        <v>0</v>
      </c>
      <c r="Q21" s="54">
        <f>SUM(E21:P21)</f>
        <v>-26386.239999999932</v>
      </c>
    </row>
    <row r="22" spans="2:17">
      <c r="B22" s="45"/>
      <c r="C22" s="48" t="s">
        <v>139</v>
      </c>
      <c r="D22" s="51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4"/>
    </row>
    <row r="23" spans="2:17">
      <c r="B23" s="45" t="s">
        <v>3</v>
      </c>
      <c r="C23" s="48" t="s">
        <v>41</v>
      </c>
      <c r="D23" s="48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4"/>
    </row>
    <row r="24" spans="2:17">
      <c r="B24" s="45" t="s">
        <v>11</v>
      </c>
      <c r="C24" s="51" t="s">
        <v>12</v>
      </c>
      <c r="D24" s="51"/>
      <c r="E24" s="54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6"/>
      <c r="Q24" s="54"/>
    </row>
    <row r="25" spans="2:17">
      <c r="B25" s="50" t="s">
        <v>19</v>
      </c>
      <c r="C25" s="51" t="s">
        <v>140</v>
      </c>
      <c r="D25" s="51"/>
      <c r="E25" s="53">
        <v>102799.73</v>
      </c>
      <c r="F25" s="53">
        <v>112475.42</v>
      </c>
      <c r="G25" s="53">
        <v>86902.57</v>
      </c>
      <c r="H25" s="53">
        <v>53230.07</v>
      </c>
      <c r="I25" s="53">
        <v>37707.53</v>
      </c>
      <c r="J25" s="53">
        <v>0</v>
      </c>
      <c r="K25" s="53">
        <v>0</v>
      </c>
      <c r="L25" s="53">
        <v>0</v>
      </c>
      <c r="M25" s="53">
        <v>0</v>
      </c>
      <c r="N25" s="53"/>
      <c r="O25" s="60"/>
      <c r="P25" s="53"/>
      <c r="Q25" s="54">
        <f t="shared" ref="Q25:Q31" si="4">SUM(E25:P25)</f>
        <v>393115.31999999995</v>
      </c>
    </row>
    <row r="26" spans="2:17">
      <c r="B26" s="50" t="s">
        <v>20</v>
      </c>
      <c r="C26" s="51" t="s">
        <v>40</v>
      </c>
      <c r="D26" s="51"/>
      <c r="E26" s="53">
        <v>13918.15</v>
      </c>
      <c r="F26" s="53">
        <v>10968.49</v>
      </c>
      <c r="G26" s="53">
        <v>12380.43</v>
      </c>
      <c r="H26" s="53">
        <v>12409.7</v>
      </c>
      <c r="I26" s="53">
        <v>11616.34</v>
      </c>
      <c r="J26" s="53">
        <v>0</v>
      </c>
      <c r="K26" s="53">
        <v>0</v>
      </c>
      <c r="L26" s="53">
        <v>0</v>
      </c>
      <c r="M26" s="53">
        <v>0</v>
      </c>
      <c r="N26" s="53"/>
      <c r="O26" s="60"/>
      <c r="P26" s="53"/>
      <c r="Q26" s="54">
        <f t="shared" si="4"/>
        <v>61293.11</v>
      </c>
    </row>
    <row r="27" spans="2:17">
      <c r="B27" s="50" t="s">
        <v>21</v>
      </c>
      <c r="C27" s="51" t="s">
        <v>58</v>
      </c>
      <c r="D27" s="51"/>
      <c r="E27" s="57">
        <v>28518.78</v>
      </c>
      <c r="F27" s="53">
        <v>25769.25</v>
      </c>
      <c r="G27" s="53">
        <f>20953.45+991.07+690.04</f>
        <v>22634.560000000001</v>
      </c>
      <c r="H27" s="53">
        <v>20746.189999999999</v>
      </c>
      <c r="I27" s="53">
        <v>19334.45</v>
      </c>
      <c r="J27" s="55">
        <v>18167.07</v>
      </c>
      <c r="K27" s="53">
        <v>23191.73</v>
      </c>
      <c r="L27" s="55">
        <v>23094</v>
      </c>
      <c r="M27" s="53">
        <v>23582.94</v>
      </c>
      <c r="N27" s="53"/>
      <c r="O27" s="53"/>
      <c r="P27" s="53"/>
      <c r="Q27" s="54">
        <f t="shared" si="4"/>
        <v>205038.97</v>
      </c>
    </row>
    <row r="28" spans="2:17">
      <c r="B28" s="50" t="s">
        <v>125</v>
      </c>
      <c r="C28" s="51" t="s">
        <v>137</v>
      </c>
      <c r="D28" s="51"/>
      <c r="E28" s="66">
        <v>4297.5600000000004</v>
      </c>
      <c r="F28" s="53">
        <v>2635.84</v>
      </c>
      <c r="G28" s="53">
        <v>2993.97</v>
      </c>
      <c r="H28" s="53">
        <v>2750.44</v>
      </c>
      <c r="I28" s="53">
        <v>2377.98</v>
      </c>
      <c r="J28" s="53">
        <v>3251.82</v>
      </c>
      <c r="K28" s="53">
        <v>4012</v>
      </c>
      <c r="L28" s="53">
        <v>3495.2</v>
      </c>
      <c r="M28" s="53">
        <v>3995.95</v>
      </c>
      <c r="N28" s="53"/>
      <c r="O28" s="53"/>
      <c r="P28" s="53"/>
      <c r="Q28" s="54">
        <f t="shared" si="4"/>
        <v>29810.760000000002</v>
      </c>
    </row>
    <row r="29" spans="2:17">
      <c r="B29" s="50" t="s">
        <v>57</v>
      </c>
      <c r="C29" s="51" t="s">
        <v>145</v>
      </c>
      <c r="D29" s="51"/>
      <c r="E29" s="53">
        <v>2164.73</v>
      </c>
      <c r="F29" s="53">
        <v>1472.11</v>
      </c>
      <c r="G29" s="53">
        <v>1662.24</v>
      </c>
      <c r="H29" s="53">
        <v>1580.46</v>
      </c>
      <c r="I29" s="53">
        <v>1421.96</v>
      </c>
      <c r="J29" s="53">
        <v>1031.26</v>
      </c>
      <c r="K29" s="53">
        <v>1203.5999999999999</v>
      </c>
      <c r="L29" s="53">
        <v>1048.56</v>
      </c>
      <c r="M29" s="53">
        <v>1266.3599999999999</v>
      </c>
      <c r="N29" s="53"/>
      <c r="O29" s="53"/>
      <c r="P29" s="53"/>
      <c r="Q29" s="54">
        <f t="shared" si="4"/>
        <v>12851.28</v>
      </c>
    </row>
    <row r="30" spans="2:17">
      <c r="B30" s="50" t="s">
        <v>135</v>
      </c>
      <c r="C30" s="51" t="s">
        <v>146</v>
      </c>
      <c r="D30" s="51"/>
      <c r="E30" s="53">
        <v>2411.1</v>
      </c>
      <c r="F30" s="53">
        <v>1934.78</v>
      </c>
      <c r="G30" s="53">
        <v>2184.65</v>
      </c>
      <c r="H30" s="53">
        <v>2077.1799999999998</v>
      </c>
      <c r="I30" s="53">
        <v>1868.86</v>
      </c>
      <c r="J30" s="53">
        <v>1355.37</v>
      </c>
      <c r="K30" s="53">
        <f>1672.65-2408.56</f>
        <v>-735.90999999999985</v>
      </c>
      <c r="L30" s="53">
        <v>1457.19</v>
      </c>
      <c r="M30" s="53">
        <v>1681.49</v>
      </c>
      <c r="N30" s="53"/>
      <c r="O30" s="53"/>
      <c r="P30" s="53"/>
      <c r="Q30" s="54">
        <f>SUM(E30:P30)</f>
        <v>14234.710000000003</v>
      </c>
    </row>
    <row r="31" spans="2:17">
      <c r="B31" s="50" t="s">
        <v>136</v>
      </c>
      <c r="C31" s="51" t="s">
        <v>10</v>
      </c>
      <c r="D31" s="51"/>
      <c r="E31" s="53">
        <v>1910.49</v>
      </c>
      <c r="F31" s="53">
        <v>1910.49</v>
      </c>
      <c r="G31" s="53">
        <v>1910.49</v>
      </c>
      <c r="H31" s="53">
        <v>1910.49</v>
      </c>
      <c r="I31" s="53">
        <v>1910.49</v>
      </c>
      <c r="J31" s="53">
        <f>1910.49+1362</f>
        <v>3272.49</v>
      </c>
      <c r="K31" s="53">
        <f>1910.49+1362</f>
        <v>3272.49</v>
      </c>
      <c r="L31" s="53">
        <f>2052.99+277</f>
        <v>2329.9899999999998</v>
      </c>
      <c r="M31" s="53">
        <f>2052.99+1362</f>
        <v>3414.99</v>
      </c>
      <c r="N31" s="53"/>
      <c r="O31" s="53"/>
      <c r="P31" s="53"/>
      <c r="Q31" s="54">
        <f t="shared" si="4"/>
        <v>21842.409999999996</v>
      </c>
    </row>
    <row r="32" spans="2:17">
      <c r="B32" s="50"/>
      <c r="C32" s="51" t="s">
        <v>52</v>
      </c>
      <c r="D32" s="51"/>
      <c r="E32" s="49">
        <f>SUM(E25:E31)</f>
        <v>156020.53999999998</v>
      </c>
      <c r="F32" s="49">
        <f t="shared" ref="F32:P32" si="5">SUM(F25:F31)</f>
        <v>157166.37999999998</v>
      </c>
      <c r="G32" s="49">
        <f t="shared" si="5"/>
        <v>130668.91</v>
      </c>
      <c r="H32" s="49">
        <f t="shared" si="5"/>
        <v>94704.530000000013</v>
      </c>
      <c r="I32" s="49">
        <f t="shared" si="5"/>
        <v>76237.61</v>
      </c>
      <c r="J32" s="49">
        <f t="shared" si="5"/>
        <v>27078.009999999995</v>
      </c>
      <c r="K32" s="49">
        <f t="shared" si="5"/>
        <v>30943.909999999996</v>
      </c>
      <c r="L32" s="49">
        <f t="shared" si="5"/>
        <v>31424.940000000002</v>
      </c>
      <c r="M32" s="49">
        <f t="shared" si="5"/>
        <v>33941.730000000003</v>
      </c>
      <c r="N32" s="49">
        <f t="shared" si="5"/>
        <v>0</v>
      </c>
      <c r="O32" s="49">
        <f t="shared" si="5"/>
        <v>0</v>
      </c>
      <c r="P32" s="49">
        <f t="shared" si="5"/>
        <v>0</v>
      </c>
      <c r="Q32" s="49">
        <f>SUM(Q25:Q31)</f>
        <v>738186.55999999994</v>
      </c>
    </row>
    <row r="33" spans="2:17">
      <c r="B33" s="50"/>
      <c r="C33" s="51"/>
      <c r="D33" s="51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</row>
    <row r="34" spans="2:17">
      <c r="B34" s="50"/>
      <c r="C34" s="48" t="s">
        <v>141</v>
      </c>
      <c r="D34" s="51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9"/>
      <c r="Q34" s="49"/>
    </row>
    <row r="35" spans="2:17">
      <c r="B35" s="50"/>
      <c r="C35" s="51" t="s">
        <v>148</v>
      </c>
      <c r="D35" s="51"/>
      <c r="E35" s="58">
        <f>E16</f>
        <v>6327.43</v>
      </c>
      <c r="F35" s="58">
        <f t="shared" ref="F35:N35" si="6">F16</f>
        <v>6327.43</v>
      </c>
      <c r="G35" s="58">
        <f t="shared" si="6"/>
        <v>6327.43</v>
      </c>
      <c r="H35" s="58">
        <f t="shared" si="6"/>
        <v>6327.43</v>
      </c>
      <c r="I35" s="58">
        <f t="shared" si="6"/>
        <v>6327.44</v>
      </c>
      <c r="J35" s="58">
        <f t="shared" si="6"/>
        <v>6327.43</v>
      </c>
      <c r="K35" s="58">
        <f t="shared" si="6"/>
        <v>6327.43</v>
      </c>
      <c r="L35" s="58">
        <f t="shared" si="6"/>
        <v>6327.43</v>
      </c>
      <c r="M35" s="58">
        <f t="shared" si="6"/>
        <v>6312.73</v>
      </c>
      <c r="N35" s="58">
        <f t="shared" si="6"/>
        <v>6312.75</v>
      </c>
      <c r="O35" s="58"/>
      <c r="P35" s="58"/>
      <c r="Q35" s="49">
        <f>SUM(E35:P35)</f>
        <v>63244.929999999993</v>
      </c>
    </row>
    <row r="36" spans="2:17">
      <c r="B36" s="50"/>
      <c r="C36" s="60" t="s">
        <v>142</v>
      </c>
      <c r="D36" s="61"/>
      <c r="E36" s="58">
        <v>6327</v>
      </c>
      <c r="F36" s="58">
        <v>6327</v>
      </c>
      <c r="G36" s="58">
        <v>6327</v>
      </c>
      <c r="H36" s="58">
        <v>6327</v>
      </c>
      <c r="I36" s="58">
        <v>6327</v>
      </c>
      <c r="J36" s="58">
        <v>6327</v>
      </c>
      <c r="K36" s="58">
        <v>6327</v>
      </c>
      <c r="L36" s="58">
        <v>6327</v>
      </c>
      <c r="M36" s="58">
        <v>6327</v>
      </c>
      <c r="N36" s="58">
        <v>6328</v>
      </c>
      <c r="O36" s="58"/>
      <c r="P36" s="58"/>
      <c r="Q36" s="49">
        <f t="shared" ref="Q36:Q41" si="7">SUM(E36:P36)</f>
        <v>63271</v>
      </c>
    </row>
    <row r="37" spans="2:17">
      <c r="B37" s="50"/>
      <c r="C37" s="60" t="s">
        <v>143</v>
      </c>
      <c r="D37" s="61">
        <v>1.6</v>
      </c>
      <c r="E37" s="58">
        <v>5066</v>
      </c>
      <c r="F37" s="58">
        <v>5066</v>
      </c>
      <c r="G37" s="58">
        <v>5066</v>
      </c>
      <c r="H37" s="58">
        <v>5066</v>
      </c>
      <c r="I37" s="58">
        <v>5066</v>
      </c>
      <c r="J37" s="58">
        <v>5066</v>
      </c>
      <c r="K37" s="58">
        <v>5066</v>
      </c>
      <c r="L37" s="58">
        <v>5066</v>
      </c>
      <c r="M37" s="58">
        <f t="shared" ref="M37:N37" si="8">4208.48*1.5</f>
        <v>6312.7199999999993</v>
      </c>
      <c r="N37" s="58">
        <f t="shared" si="8"/>
        <v>6312.7199999999993</v>
      </c>
      <c r="O37" s="58"/>
      <c r="P37" s="58"/>
      <c r="Q37" s="49">
        <f t="shared" si="7"/>
        <v>53153.440000000002</v>
      </c>
    </row>
    <row r="38" spans="2:17">
      <c r="B38" s="50"/>
      <c r="C38" s="60" t="s">
        <v>158</v>
      </c>
      <c r="D38" s="61">
        <v>0.9</v>
      </c>
      <c r="E38" s="58">
        <v>2533</v>
      </c>
      <c r="F38" s="58">
        <v>2533</v>
      </c>
      <c r="G38" s="58">
        <v>2533</v>
      </c>
      <c r="H38" s="58">
        <v>2533</v>
      </c>
      <c r="I38" s="58">
        <v>2533</v>
      </c>
      <c r="J38" s="58">
        <v>2533</v>
      </c>
      <c r="K38" s="58">
        <v>2533</v>
      </c>
      <c r="L38" s="58">
        <v>2533</v>
      </c>
      <c r="M38" s="58">
        <f t="shared" ref="M38" si="9">4208.48*0.9</f>
        <v>3787.6319999999996</v>
      </c>
      <c r="N38" s="58">
        <f t="shared" ref="N38" si="10">4208.48*1.6</f>
        <v>6733.5679999999993</v>
      </c>
      <c r="O38" s="62"/>
      <c r="P38" s="62"/>
      <c r="Q38" s="49">
        <f t="shared" si="7"/>
        <v>30785.199999999997</v>
      </c>
    </row>
    <row r="39" spans="2:17">
      <c r="B39" s="50"/>
      <c r="C39" s="60" t="s">
        <v>159</v>
      </c>
      <c r="D39" s="61">
        <v>0.45</v>
      </c>
      <c r="E39" s="58">
        <f>4208.48*0.45</f>
        <v>1893.8159999999998</v>
      </c>
      <c r="F39" s="58">
        <f t="shared" ref="F39:M39" si="11">4208.48*0.45</f>
        <v>1893.8159999999998</v>
      </c>
      <c r="G39" s="58">
        <f t="shared" si="11"/>
        <v>1893.8159999999998</v>
      </c>
      <c r="H39" s="58">
        <f t="shared" si="11"/>
        <v>1893.8159999999998</v>
      </c>
      <c r="I39" s="58">
        <f t="shared" si="11"/>
        <v>1893.8159999999998</v>
      </c>
      <c r="J39" s="58">
        <f t="shared" si="11"/>
        <v>1893.8159999999998</v>
      </c>
      <c r="K39" s="58">
        <f t="shared" si="11"/>
        <v>1893.8159999999998</v>
      </c>
      <c r="L39" s="58">
        <f t="shared" si="11"/>
        <v>1893.8159999999998</v>
      </c>
      <c r="M39" s="58">
        <f t="shared" si="11"/>
        <v>1893.8159999999998</v>
      </c>
      <c r="N39" s="62">
        <v>3788</v>
      </c>
      <c r="O39" s="62"/>
      <c r="P39" s="62"/>
      <c r="Q39" s="49">
        <f t="shared" si="7"/>
        <v>20832.343999999994</v>
      </c>
    </row>
    <row r="40" spans="2:17">
      <c r="B40" s="50"/>
      <c r="C40" s="60" t="s">
        <v>151</v>
      </c>
      <c r="D40" s="61"/>
      <c r="E40" s="58">
        <v>1550</v>
      </c>
      <c r="F40" s="58">
        <v>1550</v>
      </c>
      <c r="G40" s="58">
        <v>1550</v>
      </c>
      <c r="H40" s="58">
        <v>1550</v>
      </c>
      <c r="I40" s="58">
        <v>1550</v>
      </c>
      <c r="J40" s="58">
        <v>1550</v>
      </c>
      <c r="K40" s="58">
        <v>1550</v>
      </c>
      <c r="L40" s="58">
        <v>1550</v>
      </c>
      <c r="M40" s="58">
        <v>1550</v>
      </c>
      <c r="N40" s="58">
        <v>1550</v>
      </c>
      <c r="O40" s="62"/>
      <c r="P40" s="62"/>
      <c r="Q40" s="49">
        <f t="shared" si="7"/>
        <v>15500</v>
      </c>
    </row>
    <row r="41" spans="2:17">
      <c r="B41" s="50"/>
      <c r="C41" s="60" t="s">
        <v>152</v>
      </c>
      <c r="D41" s="61"/>
      <c r="E41" s="58"/>
      <c r="F41" s="58"/>
      <c r="G41" s="58"/>
      <c r="H41" s="58"/>
      <c r="I41" s="58"/>
      <c r="J41" s="58"/>
      <c r="K41" s="58"/>
      <c r="L41" s="58">
        <v>628.79999999999995</v>
      </c>
      <c r="M41" s="58"/>
      <c r="N41" s="58"/>
      <c r="O41" s="62"/>
      <c r="P41" s="62"/>
      <c r="Q41" s="49">
        <f t="shared" si="7"/>
        <v>628.79999999999995</v>
      </c>
    </row>
    <row r="42" spans="2:17">
      <c r="B42" s="50"/>
      <c r="C42" s="61" t="s">
        <v>147</v>
      </c>
      <c r="D42" s="61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49">
        <f>SUM(Q35:Q41)</f>
        <v>247415.71399999998</v>
      </c>
    </row>
    <row r="43" spans="2:17">
      <c r="B43" s="50"/>
      <c r="C43" s="66"/>
      <c r="D43" s="61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49"/>
    </row>
    <row r="44" spans="2:17">
      <c r="B44" s="63"/>
      <c r="C44" s="61" t="s">
        <v>144</v>
      </c>
      <c r="D44" s="60"/>
      <c r="E44" s="58">
        <v>1473</v>
      </c>
      <c r="F44" s="58">
        <v>7384</v>
      </c>
      <c r="G44" s="58">
        <v>1343.8</v>
      </c>
      <c r="H44" s="58">
        <v>1116.9000000000001</v>
      </c>
      <c r="I44" s="58">
        <v>0</v>
      </c>
      <c r="J44" s="58">
        <v>62827.199999999997</v>
      </c>
      <c r="K44" s="58">
        <v>42680.3</v>
      </c>
      <c r="L44" s="58">
        <v>60274.2</v>
      </c>
      <c r="M44" s="58">
        <v>249.8</v>
      </c>
      <c r="N44" s="58"/>
      <c r="O44" s="58"/>
      <c r="P44" s="58"/>
      <c r="Q44" s="65">
        <f>SUM(E44:P44)</f>
        <v>177349.19999999998</v>
      </c>
    </row>
    <row r="45" spans="2:17">
      <c r="B45" s="63"/>
      <c r="C45" s="60" t="s">
        <v>149</v>
      </c>
      <c r="D45" s="60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54">
        <f>Q32+Q42</f>
        <v>985602.27399999998</v>
      </c>
    </row>
    <row r="46" spans="2:17">
      <c r="B46" s="63"/>
      <c r="C46" s="60" t="s">
        <v>153</v>
      </c>
      <c r="D46" s="60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54">
        <v>15000</v>
      </c>
    </row>
    <row r="47" spans="2:17">
      <c r="B47" s="63"/>
      <c r="C47" s="60" t="s">
        <v>139</v>
      </c>
      <c r="D47" s="60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65">
        <f>Q19-D7-Q32-Q42-Q44-Q46</f>
        <v>-382147.44399999978</v>
      </c>
    </row>
    <row r="48" spans="2:17">
      <c r="B48" s="71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 t="s">
        <v>62</v>
      </c>
      <c r="P48" s="66"/>
      <c r="Q48" s="68"/>
    </row>
    <row r="49" spans="2:17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</sheetData>
  <mergeCells count="3">
    <mergeCell ref="B2:Q2"/>
    <mergeCell ref="B3:Q3"/>
    <mergeCell ref="B4:Q4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Q49"/>
  <sheetViews>
    <sheetView topLeftCell="A3" workbookViewId="0">
      <selection activeCell="B25" sqref="B25:Q40"/>
    </sheetView>
  </sheetViews>
  <sheetFormatPr defaultRowHeight="12.75"/>
  <cols>
    <col min="2" max="2" width="4.7109375" customWidth="1"/>
    <col min="3" max="3" width="29.28515625" customWidth="1"/>
    <col min="11" max="11" width="7.42578125" customWidth="1"/>
    <col min="12" max="12" width="0.85546875" customWidth="1"/>
    <col min="13" max="13" width="3" customWidth="1"/>
    <col min="14" max="14" width="2.42578125" customWidth="1"/>
    <col min="15" max="16" width="9.140625" hidden="1" customWidth="1"/>
    <col min="17" max="17" width="9.140625" customWidth="1"/>
  </cols>
  <sheetData>
    <row r="3" spans="2:17">
      <c r="B3" s="100" t="s">
        <v>0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2:17">
      <c r="B4" s="100" t="s">
        <v>17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2:17">
      <c r="B5" s="100" t="s">
        <v>166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</row>
    <row r="6" spans="2:17">
      <c r="B6" s="91"/>
      <c r="C6" s="91"/>
      <c r="D6" s="91"/>
      <c r="E6" s="91"/>
      <c r="F6" s="91"/>
      <c r="G6" s="91"/>
      <c r="H6" s="91"/>
      <c r="I6" s="91"/>
      <c r="J6" s="91"/>
      <c r="K6" s="91"/>
      <c r="L6" s="72" t="s">
        <v>161</v>
      </c>
      <c r="M6" s="91"/>
      <c r="N6" s="91"/>
      <c r="O6" s="91"/>
      <c r="P6" s="91"/>
      <c r="Q6" s="91"/>
    </row>
    <row r="7" spans="2:17" ht="24">
      <c r="B7" s="45"/>
      <c r="C7" s="45" t="s">
        <v>5</v>
      </c>
      <c r="D7" s="46" t="s">
        <v>167</v>
      </c>
      <c r="E7" s="47" t="s">
        <v>108</v>
      </c>
      <c r="F7" s="47" t="s">
        <v>31</v>
      </c>
      <c r="G7" s="47" t="s">
        <v>32</v>
      </c>
      <c r="H7" s="47" t="s">
        <v>33</v>
      </c>
      <c r="I7" s="47" t="s">
        <v>34</v>
      </c>
      <c r="J7" s="47" t="s">
        <v>35</v>
      </c>
      <c r="K7" s="47" t="s">
        <v>36</v>
      </c>
      <c r="L7" s="47" t="s">
        <v>37</v>
      </c>
      <c r="M7" s="47" t="s">
        <v>26</v>
      </c>
      <c r="N7" s="47" t="s">
        <v>27</v>
      </c>
      <c r="O7" s="47" t="s">
        <v>28</v>
      </c>
      <c r="P7" s="47" t="s">
        <v>107</v>
      </c>
      <c r="Q7" s="45" t="s">
        <v>25</v>
      </c>
    </row>
    <row r="8" spans="2:17">
      <c r="B8" s="45" t="s">
        <v>1</v>
      </c>
      <c r="C8" s="48" t="s">
        <v>59</v>
      </c>
      <c r="D8" s="48">
        <v>412066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9"/>
    </row>
    <row r="9" spans="2:17">
      <c r="B9" s="50" t="s">
        <v>43</v>
      </c>
      <c r="C9" s="51" t="s">
        <v>7</v>
      </c>
      <c r="D9" s="51"/>
      <c r="E9" s="52">
        <v>42084.800000000003</v>
      </c>
      <c r="F9" s="52">
        <v>42084.800000000003</v>
      </c>
      <c r="G9" s="53">
        <v>42051</v>
      </c>
      <c r="H9" s="53">
        <v>41719.86</v>
      </c>
      <c r="I9" s="53">
        <v>42050.8</v>
      </c>
      <c r="J9" s="53">
        <v>42050.8</v>
      </c>
      <c r="K9" s="53"/>
      <c r="L9" s="53"/>
      <c r="M9" s="53"/>
      <c r="N9" s="53"/>
      <c r="O9" s="53"/>
      <c r="P9" s="53"/>
      <c r="Q9" s="54">
        <f>SUM(E9:P9)</f>
        <v>252042.06</v>
      </c>
    </row>
    <row r="10" spans="2:17">
      <c r="B10" s="50" t="s">
        <v>128</v>
      </c>
      <c r="C10" s="51" t="s">
        <v>138</v>
      </c>
      <c r="D10" s="88">
        <v>0.48</v>
      </c>
      <c r="E10" s="52">
        <v>99055.51</v>
      </c>
      <c r="F10" s="52">
        <v>64757.74</v>
      </c>
      <c r="G10" s="53">
        <v>58635.81</v>
      </c>
      <c r="H10" s="53">
        <v>44194.74</v>
      </c>
      <c r="I10" s="53">
        <v>14755</v>
      </c>
      <c r="J10" s="53">
        <v>0</v>
      </c>
      <c r="K10" s="53"/>
      <c r="L10" s="53"/>
      <c r="M10" s="53"/>
      <c r="N10" s="53"/>
      <c r="O10" s="53"/>
      <c r="P10" s="53"/>
      <c r="Q10" s="54">
        <f t="shared" ref="Q10:Q19" si="0">SUM(E10:P10)</f>
        <v>281398.8</v>
      </c>
    </row>
    <row r="11" spans="2:17">
      <c r="B11" s="50"/>
      <c r="C11" s="51" t="s">
        <v>162</v>
      </c>
      <c r="D11" s="51"/>
      <c r="E11" s="52"/>
      <c r="F11" s="52">
        <v>17698.740000000002</v>
      </c>
      <c r="G11" s="52">
        <v>3084.4</v>
      </c>
      <c r="H11" s="52">
        <v>2531.3000000000002</v>
      </c>
      <c r="I11" s="53">
        <v>738</v>
      </c>
      <c r="J11" s="53">
        <v>0</v>
      </c>
      <c r="K11" s="53"/>
      <c r="L11" s="53"/>
      <c r="M11" s="53"/>
      <c r="N11" s="53"/>
      <c r="O11" s="53"/>
      <c r="P11" s="53"/>
      <c r="Q11" s="54">
        <f t="shared" si="0"/>
        <v>24052.440000000002</v>
      </c>
    </row>
    <row r="12" spans="2:17">
      <c r="B12" s="50" t="s">
        <v>45</v>
      </c>
      <c r="C12" s="51" t="s">
        <v>40</v>
      </c>
      <c r="D12" s="51"/>
      <c r="E12" s="52">
        <v>8445.67</v>
      </c>
      <c r="F12" s="52">
        <v>7414.52</v>
      </c>
      <c r="G12" s="53">
        <v>18198.78</v>
      </c>
      <c r="H12" s="89">
        <v>7379.95</v>
      </c>
      <c r="I12" s="53">
        <v>6139.5</v>
      </c>
      <c r="J12" s="53">
        <v>87.48</v>
      </c>
      <c r="K12" s="53"/>
      <c r="L12" s="53"/>
      <c r="M12" s="53"/>
      <c r="N12" s="53"/>
      <c r="O12" s="53"/>
      <c r="P12" s="53"/>
      <c r="Q12" s="54">
        <f t="shared" si="0"/>
        <v>47665.9</v>
      </c>
    </row>
    <row r="13" spans="2:17">
      <c r="B13" s="50" t="s">
        <v>172</v>
      </c>
      <c r="C13" s="51" t="s">
        <v>155</v>
      </c>
      <c r="D13" s="51"/>
      <c r="E13" s="52">
        <v>5074.7299999999996</v>
      </c>
      <c r="F13" s="52">
        <v>6475.27</v>
      </c>
      <c r="G13" s="52">
        <v>-3060.06</v>
      </c>
      <c r="H13" s="52">
        <v>2145</v>
      </c>
      <c r="I13" s="53">
        <v>4316.26</v>
      </c>
      <c r="J13" s="53">
        <v>0</v>
      </c>
      <c r="K13" s="53"/>
      <c r="L13" s="53"/>
      <c r="M13" s="53"/>
      <c r="N13" s="53"/>
      <c r="O13" s="53"/>
      <c r="P13" s="53"/>
      <c r="Q13" s="54">
        <f>SUM(E13:P13)</f>
        <v>14951.2</v>
      </c>
    </row>
    <row r="14" spans="2:17">
      <c r="B14" s="50" t="s">
        <v>173</v>
      </c>
      <c r="C14" s="51" t="s">
        <v>42</v>
      </c>
      <c r="D14" s="51"/>
      <c r="E14" s="52">
        <v>42253.95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  <c r="Q14" s="54">
        <f t="shared" si="0"/>
        <v>42253.95</v>
      </c>
    </row>
    <row r="15" spans="2:17">
      <c r="B15" s="50" t="s">
        <v>174</v>
      </c>
      <c r="C15" s="51" t="s">
        <v>8</v>
      </c>
      <c r="D15" s="51"/>
      <c r="E15" s="52">
        <v>2638.26</v>
      </c>
      <c r="F15" s="52">
        <v>1987.8</v>
      </c>
      <c r="G15" s="53">
        <v>3715.68</v>
      </c>
      <c r="H15" s="53">
        <v>4357.96</v>
      </c>
      <c r="I15" s="53">
        <v>3211.21</v>
      </c>
      <c r="J15" s="53">
        <v>2357.75</v>
      </c>
      <c r="K15" s="53"/>
      <c r="L15" s="53"/>
      <c r="M15" s="53"/>
      <c r="N15" s="53"/>
      <c r="O15" s="53"/>
      <c r="P15" s="53"/>
      <c r="Q15" s="54">
        <f t="shared" si="0"/>
        <v>18268.66</v>
      </c>
    </row>
    <row r="16" spans="2:17">
      <c r="B16" s="50" t="s">
        <v>175</v>
      </c>
      <c r="C16" s="51" t="s">
        <v>157</v>
      </c>
      <c r="D16" s="51"/>
      <c r="E16" s="52">
        <v>812.31</v>
      </c>
      <c r="F16" s="52">
        <v>885.18</v>
      </c>
      <c r="G16" s="52">
        <v>-971.5</v>
      </c>
      <c r="H16" s="52">
        <v>0</v>
      </c>
      <c r="I16" s="53">
        <v>1712.48</v>
      </c>
      <c r="J16" s="53">
        <v>326.52</v>
      </c>
      <c r="K16" s="53"/>
      <c r="L16" s="53"/>
      <c r="M16" s="53"/>
      <c r="N16" s="53"/>
      <c r="O16" s="53"/>
      <c r="P16" s="53"/>
      <c r="Q16" s="54">
        <f>SUM(E16:P16)</f>
        <v>2764.99</v>
      </c>
    </row>
    <row r="17" spans="2:17">
      <c r="B17" s="50" t="s">
        <v>176</v>
      </c>
      <c r="C17" s="51" t="s">
        <v>126</v>
      </c>
      <c r="D17" s="51"/>
      <c r="E17" s="52">
        <v>3031</v>
      </c>
      <c r="F17" s="52">
        <v>2974.38</v>
      </c>
      <c r="G17" s="53">
        <v>7073.84</v>
      </c>
      <c r="H17" s="53">
        <v>5316.47</v>
      </c>
      <c r="I17" s="53">
        <v>4154.07</v>
      </c>
      <c r="J17" s="53">
        <v>1895.06</v>
      </c>
      <c r="K17" s="53"/>
      <c r="L17" s="53"/>
      <c r="M17" s="53"/>
      <c r="N17" s="53"/>
      <c r="O17" s="53"/>
      <c r="P17" s="53"/>
      <c r="Q17" s="54">
        <f t="shared" si="0"/>
        <v>24444.820000000003</v>
      </c>
    </row>
    <row r="18" spans="2:17">
      <c r="B18" s="50" t="s">
        <v>177</v>
      </c>
      <c r="C18" s="51" t="s">
        <v>10</v>
      </c>
      <c r="D18" s="51"/>
      <c r="E18" s="52">
        <v>2121.14</v>
      </c>
      <c r="F18" s="52">
        <v>2083</v>
      </c>
      <c r="G18" s="53">
        <v>2671.23</v>
      </c>
      <c r="H18" s="53">
        <v>2838.34</v>
      </c>
      <c r="I18" s="53">
        <v>2865.77</v>
      </c>
      <c r="J18" s="53">
        <v>2865.77</v>
      </c>
      <c r="K18" s="55"/>
      <c r="L18" s="53"/>
      <c r="M18" s="53"/>
      <c r="N18" s="53"/>
      <c r="O18" s="53"/>
      <c r="P18" s="53"/>
      <c r="Q18" s="54">
        <f t="shared" si="0"/>
        <v>15445.25</v>
      </c>
    </row>
    <row r="19" spans="2:17">
      <c r="B19" s="50" t="s">
        <v>178</v>
      </c>
      <c r="C19" s="51" t="s">
        <v>127</v>
      </c>
      <c r="D19" s="51"/>
      <c r="E19" s="52">
        <v>6312.73</v>
      </c>
      <c r="F19" s="52">
        <v>6313</v>
      </c>
      <c r="G19" s="53">
        <v>6307.63</v>
      </c>
      <c r="H19" s="53">
        <v>6307.84</v>
      </c>
      <c r="I19" s="53">
        <v>6307.63</v>
      </c>
      <c r="J19" s="53">
        <v>6307.71</v>
      </c>
      <c r="K19" s="53"/>
      <c r="L19" s="53"/>
      <c r="M19" s="53"/>
      <c r="N19" s="53"/>
      <c r="O19" s="53"/>
      <c r="P19" s="53"/>
      <c r="Q19" s="54">
        <f t="shared" si="0"/>
        <v>37856.54</v>
      </c>
    </row>
    <row r="20" spans="2:17">
      <c r="B20" s="50"/>
      <c r="C20" s="48" t="s">
        <v>60</v>
      </c>
      <c r="D20" s="51"/>
      <c r="E20" s="52">
        <f t="shared" ref="E20:Q20" si="1">SUM(E9:E19)</f>
        <v>211830.10000000006</v>
      </c>
      <c r="F20" s="52">
        <f t="shared" si="1"/>
        <v>152674.43</v>
      </c>
      <c r="G20" s="52">
        <f t="shared" si="1"/>
        <v>137706.81</v>
      </c>
      <c r="H20" s="52">
        <f t="shared" si="1"/>
        <v>116791.46</v>
      </c>
      <c r="I20" s="52">
        <f t="shared" si="1"/>
        <v>86250.720000000016</v>
      </c>
      <c r="J20" s="52">
        <f t="shared" si="1"/>
        <v>55891.09</v>
      </c>
      <c r="K20" s="52">
        <f t="shared" si="1"/>
        <v>0</v>
      </c>
      <c r="L20" s="52">
        <f t="shared" si="1"/>
        <v>0</v>
      </c>
      <c r="M20" s="52">
        <f t="shared" si="1"/>
        <v>0</v>
      </c>
      <c r="N20" s="52">
        <f t="shared" si="1"/>
        <v>0</v>
      </c>
      <c r="O20" s="52">
        <f t="shared" si="1"/>
        <v>0</v>
      </c>
      <c r="P20" s="52">
        <f t="shared" si="1"/>
        <v>0</v>
      </c>
      <c r="Q20" s="87">
        <f t="shared" si="1"/>
        <v>761144.61</v>
      </c>
    </row>
    <row r="21" spans="2:17">
      <c r="B21" s="50"/>
      <c r="C21" s="48" t="s">
        <v>61</v>
      </c>
      <c r="D21" s="51"/>
      <c r="E21" s="52">
        <v>153585</v>
      </c>
      <c r="F21" s="52">
        <v>174153</v>
      </c>
      <c r="G21" s="58">
        <v>72219</v>
      </c>
      <c r="H21" s="58">
        <v>130636.29</v>
      </c>
      <c r="I21" s="58">
        <v>88319.7</v>
      </c>
      <c r="J21" s="58">
        <v>58311.19</v>
      </c>
      <c r="K21" s="58"/>
      <c r="L21" s="58"/>
      <c r="M21" s="58"/>
      <c r="N21" s="58"/>
      <c r="O21" s="58"/>
      <c r="P21" s="58"/>
      <c r="Q21" s="86">
        <f>SUM(E21:P21)</f>
        <v>677224.17999999993</v>
      </c>
    </row>
    <row r="22" spans="2:17">
      <c r="B22" s="45"/>
      <c r="C22" s="51"/>
      <c r="D22" s="51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4">
        <f>SUM(E22:P22)</f>
        <v>0</v>
      </c>
    </row>
    <row r="23" spans="2:17">
      <c r="B23" s="45"/>
      <c r="C23" s="48" t="s">
        <v>139</v>
      </c>
      <c r="D23" s="51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4"/>
    </row>
    <row r="24" spans="2:17">
      <c r="B24" s="45" t="s">
        <v>3</v>
      </c>
      <c r="C24" s="48" t="s">
        <v>41</v>
      </c>
      <c r="D24" s="48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4"/>
    </row>
    <row r="25" spans="2:17">
      <c r="B25" s="45" t="s">
        <v>11</v>
      </c>
      <c r="C25" s="51" t="s">
        <v>12</v>
      </c>
      <c r="D25" s="51"/>
      <c r="E25" s="54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6"/>
      <c r="Q25" s="54"/>
    </row>
    <row r="26" spans="2:17">
      <c r="B26" s="50" t="s">
        <v>19</v>
      </c>
      <c r="C26" s="51" t="s">
        <v>140</v>
      </c>
      <c r="D26" s="51"/>
      <c r="E26" s="53">
        <v>108130.75</v>
      </c>
      <c r="F26" s="53">
        <v>82881.45</v>
      </c>
      <c r="G26" s="53">
        <v>61731.81</v>
      </c>
      <c r="H26" s="53">
        <v>44194.93</v>
      </c>
      <c r="I26" s="53">
        <v>14770.24</v>
      </c>
      <c r="J26" s="53"/>
      <c r="K26" s="53"/>
      <c r="L26" s="53"/>
      <c r="M26" s="53"/>
      <c r="N26" s="53"/>
      <c r="O26" s="60"/>
      <c r="P26" s="53"/>
      <c r="Q26" s="54">
        <f t="shared" ref="Q26:Q31" si="2">SUM(E26:P26)</f>
        <v>311709.18</v>
      </c>
    </row>
    <row r="27" spans="2:17">
      <c r="B27" s="50" t="s">
        <v>20</v>
      </c>
      <c r="C27" s="51" t="s">
        <v>40</v>
      </c>
      <c r="D27" s="51"/>
      <c r="E27" s="53">
        <v>13520.66</v>
      </c>
      <c r="F27" s="53">
        <v>13977.51</v>
      </c>
      <c r="G27" s="53">
        <v>15315.42</v>
      </c>
      <c r="H27" s="89">
        <v>17385.93</v>
      </c>
      <c r="I27" s="89">
        <v>11736.83</v>
      </c>
      <c r="J27" s="53"/>
      <c r="K27" s="53"/>
      <c r="L27" s="53"/>
      <c r="M27" s="53"/>
      <c r="N27" s="53"/>
      <c r="O27" s="60"/>
      <c r="P27" s="53"/>
      <c r="Q27" s="54">
        <f t="shared" si="2"/>
        <v>71936.349999999991</v>
      </c>
    </row>
    <row r="28" spans="2:17">
      <c r="B28" s="50" t="s">
        <v>21</v>
      </c>
      <c r="C28" s="51" t="s">
        <v>58</v>
      </c>
      <c r="D28" s="51"/>
      <c r="E28" s="57">
        <v>26549.26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4">
        <f t="shared" si="2"/>
        <v>26549.26</v>
      </c>
    </row>
    <row r="29" spans="2:17">
      <c r="B29" s="50" t="s">
        <v>125</v>
      </c>
      <c r="C29" s="51" t="s">
        <v>137</v>
      </c>
      <c r="D29" s="51"/>
      <c r="E29" s="55">
        <v>3786.03</v>
      </c>
      <c r="F29" s="53">
        <v>3347.07</v>
      </c>
      <c r="G29" s="53">
        <v>2784.97</v>
      </c>
      <c r="H29" s="53">
        <v>2564</v>
      </c>
      <c r="I29" s="53">
        <v>4410.75</v>
      </c>
      <c r="J29" s="53">
        <v>4345.33</v>
      </c>
      <c r="K29" s="53"/>
      <c r="L29" s="53"/>
      <c r="M29" s="53"/>
      <c r="N29" s="74"/>
      <c r="O29" s="53"/>
      <c r="P29" s="53"/>
      <c r="Q29" s="54">
        <f t="shared" si="2"/>
        <v>21238.15</v>
      </c>
    </row>
    <row r="30" spans="2:17">
      <c r="B30" s="50" t="s">
        <v>57</v>
      </c>
      <c r="C30" s="51" t="s">
        <v>188</v>
      </c>
      <c r="D30" s="51"/>
      <c r="E30" s="53">
        <v>4850.7700000000004</v>
      </c>
      <c r="F30" s="53">
        <v>4598.9399999999996</v>
      </c>
      <c r="G30" s="53">
        <v>4108.58</v>
      </c>
      <c r="H30" s="53">
        <v>4220.24</v>
      </c>
      <c r="I30" s="53">
        <v>5252.74</v>
      </c>
      <c r="J30" s="53">
        <v>3179.75</v>
      </c>
      <c r="K30" s="53"/>
      <c r="L30" s="53"/>
      <c r="M30" s="53"/>
      <c r="N30" s="53"/>
      <c r="O30" s="53"/>
      <c r="P30" s="53"/>
      <c r="Q30" s="54">
        <f>SUM(E30:P30)</f>
        <v>26211.019999999997</v>
      </c>
    </row>
    <row r="31" spans="2:17">
      <c r="B31" s="50" t="s">
        <v>135</v>
      </c>
      <c r="C31" s="51" t="s">
        <v>10</v>
      </c>
      <c r="D31" s="51"/>
      <c r="E31" s="53">
        <v>2797.68</v>
      </c>
      <c r="F31" s="53">
        <v>3028.08</v>
      </c>
      <c r="G31" s="53">
        <v>2200</v>
      </c>
      <c r="H31" s="53">
        <v>2661</v>
      </c>
      <c r="I31" s="53">
        <v>2654</v>
      </c>
      <c r="J31" s="53">
        <v>2200</v>
      </c>
      <c r="K31" s="53">
        <v>2654</v>
      </c>
      <c r="L31" s="53"/>
      <c r="M31" s="53"/>
      <c r="N31" s="53"/>
      <c r="O31" s="53"/>
      <c r="P31" s="53"/>
      <c r="Q31" s="54">
        <f t="shared" si="2"/>
        <v>18194.760000000002</v>
      </c>
    </row>
    <row r="32" spans="2:17">
      <c r="B32" s="50"/>
      <c r="C32" s="51" t="s">
        <v>52</v>
      </c>
      <c r="D32" s="51"/>
      <c r="E32" s="49">
        <f>SUM(E26:E31)</f>
        <v>159635.15</v>
      </c>
      <c r="F32" s="49">
        <f t="shared" ref="F32:P32" si="3">SUM(F26:F31)</f>
        <v>107833.05</v>
      </c>
      <c r="G32" s="49">
        <f t="shared" si="3"/>
        <v>86140.78</v>
      </c>
      <c r="H32" s="49">
        <f t="shared" si="3"/>
        <v>71026.100000000006</v>
      </c>
      <c r="I32" s="49">
        <f t="shared" si="3"/>
        <v>38824.559999999998</v>
      </c>
      <c r="J32" s="49">
        <f t="shared" si="3"/>
        <v>9725.08</v>
      </c>
      <c r="K32" s="49">
        <f t="shared" si="3"/>
        <v>2654</v>
      </c>
      <c r="L32" s="49">
        <f t="shared" si="3"/>
        <v>0</v>
      </c>
      <c r="M32" s="49">
        <f t="shared" si="3"/>
        <v>0</v>
      </c>
      <c r="N32" s="49">
        <f t="shared" si="3"/>
        <v>0</v>
      </c>
      <c r="O32" s="49">
        <f t="shared" si="3"/>
        <v>0</v>
      </c>
      <c r="P32" s="49">
        <f t="shared" si="3"/>
        <v>0</v>
      </c>
      <c r="Q32" s="49">
        <f>SUM(Q26:Q31)</f>
        <v>475838.72000000003</v>
      </c>
    </row>
    <row r="33" spans="2:17">
      <c r="B33" s="50" t="s">
        <v>180</v>
      </c>
      <c r="C33" s="48" t="s">
        <v>141</v>
      </c>
      <c r="D33" s="51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9"/>
      <c r="Q33" s="49"/>
    </row>
    <row r="34" spans="2:17">
      <c r="B34" s="50" t="s">
        <v>179</v>
      </c>
      <c r="C34" s="60" t="s">
        <v>142</v>
      </c>
      <c r="D34" s="47">
        <v>1.5</v>
      </c>
      <c r="E34" s="58">
        <v>6313</v>
      </c>
      <c r="F34" s="58">
        <v>6313</v>
      </c>
      <c r="G34" s="58">
        <v>6313</v>
      </c>
      <c r="H34" s="58">
        <v>6313</v>
      </c>
      <c r="I34" s="58">
        <v>6313</v>
      </c>
      <c r="J34" s="58">
        <v>6313</v>
      </c>
      <c r="K34" s="58"/>
      <c r="L34" s="58"/>
      <c r="M34" s="58"/>
      <c r="N34" s="58"/>
      <c r="O34" s="58"/>
      <c r="P34" s="58"/>
      <c r="Q34" s="49">
        <f t="shared" ref="Q34:Q39" si="4">SUM(E34:P34)</f>
        <v>37878</v>
      </c>
    </row>
    <row r="35" spans="2:17">
      <c r="B35" s="50" t="s">
        <v>181</v>
      </c>
      <c r="C35" s="60" t="s">
        <v>143</v>
      </c>
      <c r="D35" s="47">
        <v>1.6</v>
      </c>
      <c r="E35" s="58">
        <v>5050.1760000000004</v>
      </c>
      <c r="F35" s="58">
        <v>5050.1760000000004</v>
      </c>
      <c r="G35" s="58">
        <v>5050.1760000000004</v>
      </c>
      <c r="H35" s="58">
        <v>5050.1760000000004</v>
      </c>
      <c r="I35" s="58">
        <v>5050.1760000000004</v>
      </c>
      <c r="J35" s="58">
        <v>5050.1760000000004</v>
      </c>
      <c r="K35" s="58"/>
      <c r="L35" s="58"/>
      <c r="M35" s="58"/>
      <c r="N35" s="58"/>
      <c r="O35" s="58"/>
      <c r="P35" s="58"/>
      <c r="Q35" s="49">
        <f t="shared" si="4"/>
        <v>30301.056</v>
      </c>
    </row>
    <row r="36" spans="2:17">
      <c r="B36" s="50" t="s">
        <v>182</v>
      </c>
      <c r="C36" s="60" t="s">
        <v>158</v>
      </c>
      <c r="D36" s="47">
        <v>0.9</v>
      </c>
      <c r="E36" s="58">
        <v>3788</v>
      </c>
      <c r="F36" s="58">
        <v>3788</v>
      </c>
      <c r="G36" s="58">
        <v>3788</v>
      </c>
      <c r="H36" s="58">
        <v>3788</v>
      </c>
      <c r="I36" s="58">
        <v>3788</v>
      </c>
      <c r="J36" s="58">
        <v>3788</v>
      </c>
      <c r="K36" s="58"/>
      <c r="L36" s="58"/>
      <c r="M36" s="58"/>
      <c r="N36" s="58"/>
      <c r="O36" s="58"/>
      <c r="P36" s="58"/>
      <c r="Q36" s="49">
        <f t="shared" si="4"/>
        <v>22728</v>
      </c>
    </row>
    <row r="37" spans="2:17">
      <c r="B37" s="50" t="s">
        <v>183</v>
      </c>
      <c r="C37" s="60" t="s">
        <v>159</v>
      </c>
      <c r="D37" s="47">
        <v>0.9</v>
      </c>
      <c r="E37" s="58">
        <f>4208.48*0.45</f>
        <v>1893.8159999999998</v>
      </c>
      <c r="F37" s="58">
        <f t="shared" ref="F37:J37" si="5">4208.48*0.45</f>
        <v>1893.8159999999998</v>
      </c>
      <c r="G37" s="58">
        <f t="shared" si="5"/>
        <v>1893.8159999999998</v>
      </c>
      <c r="H37" s="58">
        <f t="shared" si="5"/>
        <v>1893.8159999999998</v>
      </c>
      <c r="I37" s="58">
        <f t="shared" si="5"/>
        <v>1893.8159999999998</v>
      </c>
      <c r="J37" s="58">
        <f t="shared" si="5"/>
        <v>1893.8159999999998</v>
      </c>
      <c r="K37" s="58"/>
      <c r="L37" s="58"/>
      <c r="M37" s="58"/>
      <c r="N37" s="62"/>
      <c r="O37" s="62"/>
      <c r="P37" s="62"/>
      <c r="Q37" s="49">
        <f t="shared" si="4"/>
        <v>11362.895999999997</v>
      </c>
    </row>
    <row r="38" spans="2:17">
      <c r="B38" s="50" t="s">
        <v>184</v>
      </c>
      <c r="C38" s="60" t="s">
        <v>151</v>
      </c>
      <c r="D38" s="47">
        <v>0.37</v>
      </c>
      <c r="E38" s="58">
        <v>1550</v>
      </c>
      <c r="F38" s="58">
        <v>1550</v>
      </c>
      <c r="G38" s="58">
        <v>1550</v>
      </c>
      <c r="H38" s="58">
        <v>1550</v>
      </c>
      <c r="I38" s="58">
        <v>1550</v>
      </c>
      <c r="J38" s="58">
        <v>1550</v>
      </c>
      <c r="K38" s="58"/>
      <c r="L38" s="58"/>
      <c r="M38" s="58"/>
      <c r="N38" s="58"/>
      <c r="O38" s="58"/>
      <c r="P38" s="58"/>
      <c r="Q38" s="49">
        <f t="shared" si="4"/>
        <v>9300</v>
      </c>
    </row>
    <row r="39" spans="2:17">
      <c r="B39" s="50" t="s">
        <v>185</v>
      </c>
      <c r="C39" s="60" t="s">
        <v>152</v>
      </c>
      <c r="D39" s="47">
        <v>0.1</v>
      </c>
      <c r="E39" s="58">
        <v>0</v>
      </c>
      <c r="F39" s="58">
        <v>261</v>
      </c>
      <c r="G39" s="58"/>
      <c r="H39" s="58"/>
      <c r="I39" s="58"/>
      <c r="J39" s="58"/>
      <c r="K39" s="58">
        <v>365.4</v>
      </c>
      <c r="L39" s="58">
        <v>291</v>
      </c>
      <c r="M39" s="58"/>
      <c r="N39" s="58"/>
      <c r="O39" s="62"/>
      <c r="P39" s="62"/>
      <c r="Q39" s="49">
        <f t="shared" si="4"/>
        <v>917.4</v>
      </c>
    </row>
    <row r="40" spans="2:17">
      <c r="B40" s="63" t="s">
        <v>186</v>
      </c>
      <c r="C40" s="85" t="s">
        <v>171</v>
      </c>
      <c r="D40" s="82">
        <v>4.63</v>
      </c>
      <c r="E40" s="58">
        <v>14948.7</v>
      </c>
      <c r="F40" s="58">
        <v>25509.7</v>
      </c>
      <c r="G40" s="58">
        <v>4051.8</v>
      </c>
      <c r="H40" s="58">
        <v>1750.3</v>
      </c>
      <c r="I40" s="58">
        <v>3903.2</v>
      </c>
      <c r="J40" s="58"/>
      <c r="K40" s="58">
        <v>12314.9</v>
      </c>
      <c r="L40" s="58">
        <v>7951</v>
      </c>
      <c r="M40" s="58"/>
      <c r="N40" s="58"/>
      <c r="O40" s="58"/>
      <c r="P40" s="58"/>
      <c r="Q40" s="65">
        <f>SUM(E40:P40)</f>
        <v>70429.600000000006</v>
      </c>
    </row>
    <row r="41" spans="2:17">
      <c r="B41" s="63"/>
      <c r="C41" s="61" t="s">
        <v>168</v>
      </c>
      <c r="D41" s="79">
        <v>10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65">
        <f>SUM(Q34:Q40)</f>
        <v>182916.95199999999</v>
      </c>
    </row>
    <row r="42" spans="2:17">
      <c r="B42" s="50" t="s">
        <v>187</v>
      </c>
      <c r="C42" s="51" t="s">
        <v>148</v>
      </c>
      <c r="D42" s="80">
        <v>1.5</v>
      </c>
      <c r="E42" s="90">
        <v>6166</v>
      </c>
      <c r="F42" s="90">
        <v>6166</v>
      </c>
      <c r="G42" s="90">
        <v>6166</v>
      </c>
      <c r="H42" s="90">
        <v>6166</v>
      </c>
      <c r="I42" s="90">
        <v>6166</v>
      </c>
      <c r="J42" s="90">
        <v>6166</v>
      </c>
      <c r="K42" s="58"/>
      <c r="L42" s="58"/>
      <c r="M42" s="58"/>
      <c r="N42" s="58"/>
      <c r="O42" s="58"/>
      <c r="P42" s="58"/>
      <c r="Q42" s="49">
        <f>SUM(E42:P42)</f>
        <v>36996</v>
      </c>
    </row>
    <row r="43" spans="2:17">
      <c r="B43" s="63"/>
      <c r="C43" s="60" t="s">
        <v>169</v>
      </c>
      <c r="D43" s="83">
        <f>SUM(D41:D42)</f>
        <v>11.5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54">
        <f>SUM(Q41:Q42)</f>
        <v>219912.95199999999</v>
      </c>
    </row>
    <row r="44" spans="2:17">
      <c r="B44" s="63"/>
      <c r="C44" s="81" t="s">
        <v>170</v>
      </c>
      <c r="D44" s="60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84">
        <f>Q43+Q32</f>
        <v>695751.67200000002</v>
      </c>
    </row>
    <row r="45" spans="2:17">
      <c r="B45" s="63"/>
      <c r="C45" s="60" t="s">
        <v>139</v>
      </c>
      <c r="D45" s="60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65">
        <f>Q20-D8-Q44</f>
        <v>-346673.06200000003</v>
      </c>
    </row>
    <row r="46" spans="2:17">
      <c r="B46" s="71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 t="s">
        <v>62</v>
      </c>
      <c r="P46" s="66"/>
      <c r="Q46" s="68"/>
    </row>
    <row r="47" spans="2:17">
      <c r="B47" s="66"/>
      <c r="C47" s="77" t="s">
        <v>163</v>
      </c>
      <c r="D47" s="78"/>
      <c r="E47" s="78"/>
      <c r="F47" s="78"/>
      <c r="G47" s="78"/>
      <c r="H47" s="78"/>
      <c r="I47" s="66"/>
      <c r="J47" s="66" t="s">
        <v>164</v>
      </c>
      <c r="K47" s="66"/>
      <c r="L47" s="66"/>
      <c r="M47" s="66"/>
      <c r="N47" s="66"/>
      <c r="O47" s="66"/>
      <c r="P47" s="66"/>
      <c r="Q47" s="66"/>
    </row>
    <row r="48" spans="2:17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2:17">
      <c r="B49" s="66"/>
      <c r="C49" s="77" t="s">
        <v>165</v>
      </c>
      <c r="D49" s="78"/>
      <c r="E49" s="78"/>
      <c r="F49" s="78"/>
      <c r="G49" s="78"/>
      <c r="H49" s="78"/>
      <c r="I49" s="66"/>
      <c r="J49" s="66"/>
      <c r="K49" s="66"/>
      <c r="L49" s="66"/>
      <c r="M49" s="66"/>
      <c r="N49" s="66"/>
      <c r="O49" s="66"/>
      <c r="P49" s="66"/>
      <c r="Q49" s="66"/>
    </row>
  </sheetData>
  <mergeCells count="3">
    <mergeCell ref="B3:Q3"/>
    <mergeCell ref="B4:Q4"/>
    <mergeCell ref="B5:Q5"/>
  </mergeCells>
  <pageMargins left="0.7" right="0.7" top="0.75" bottom="0.75" header="0.3" footer="0.3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Лист4</vt:lpstr>
      <vt:lpstr>Лист6</vt:lpstr>
      <vt:lpstr>Лист5</vt:lpstr>
      <vt:lpstr>Лист1</vt:lpstr>
      <vt:lpstr>Лист2</vt:lpstr>
      <vt:lpstr>Лист7</vt:lpstr>
      <vt:lpstr>исправл.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2013-09-12T01:48:13Z</cp:lastPrinted>
  <dcterms:created xsi:type="dcterms:W3CDTF">1996-10-08T23:32:33Z</dcterms:created>
  <dcterms:modified xsi:type="dcterms:W3CDTF">2014-01-10T01:13:06Z</dcterms:modified>
</cp:coreProperties>
</file>